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slc654\Desktop\"/>
    </mc:Choice>
  </mc:AlternateContent>
  <bookViews>
    <workbookView xWindow="0" yWindow="0" windowWidth="20160" windowHeight="9420" tabRatio="432"/>
  </bookViews>
  <sheets>
    <sheet name="Enter Your Data" sheetId="14" r:id="rId1"/>
    <sheet name="Passenger Cars" sheetId="6" r:id="rId2"/>
    <sheet name="Vans and Trucks" sheetId="8" r:id="rId3"/>
    <sheet name="Crossovers and Special Purpose" sheetId="11" r:id="rId4"/>
    <sheet name="Sheet1" sheetId="12" state="hidden" r:id="rId5"/>
    <sheet name="EV Details" sheetId="13" r:id="rId6"/>
    <sheet name="Calculations" sheetId="15" state="hidden" r:id="rId7"/>
    <sheet name="new cars" sheetId="16" state="hidden" r:id="rId8"/>
  </sheets>
  <definedNames>
    <definedName name="Fuel">Sheet1!$A$1:$A$6</definedName>
    <definedName name="FuelType">Sheet1!$A$1:$A$5</definedName>
    <definedName name="FuelTypes">Sheet1!$A$1:$A$4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A3" i="8" l="1"/>
  <c r="AA5" i="8"/>
  <c r="AA6" i="8"/>
  <c r="AA2" i="8"/>
  <c r="AB3" i="11"/>
  <c r="AB5" i="11"/>
  <c r="AB6" i="11"/>
  <c r="AB2" i="11"/>
  <c r="F22" i="15"/>
  <c r="F29" i="15"/>
  <c r="I5" i="14"/>
  <c r="AA4" i="8" s="1"/>
  <c r="F30" i="15"/>
  <c r="F24" i="15"/>
  <c r="F31" i="15"/>
  <c r="G24" i="15"/>
  <c r="F25" i="15"/>
  <c r="F32" i="15"/>
  <c r="F21" i="15"/>
  <c r="F28" i="15"/>
  <c r="G21" i="15"/>
  <c r="H21" i="15" s="1"/>
  <c r="I21" i="15" s="1"/>
  <c r="J21" i="15" s="1"/>
  <c r="K21" i="15" s="1"/>
  <c r="L21" i="15" s="1"/>
  <c r="M21" i="15" s="1"/>
  <c r="N21" i="15" s="1"/>
  <c r="O21" i="15" s="1"/>
  <c r="J14" i="14"/>
  <c r="F15" i="11" s="1"/>
  <c r="F8" i="11"/>
  <c r="G33" i="11" s="1"/>
  <c r="P10" i="11"/>
  <c r="D35" i="14"/>
  <c r="D34" i="14"/>
  <c r="B16" i="13"/>
  <c r="C22" i="14"/>
  <c r="F9" i="6"/>
  <c r="H41" i="6" s="1"/>
  <c r="Q11" i="6"/>
  <c r="H42" i="6"/>
  <c r="H21" i="6"/>
  <c r="G19" i="6"/>
  <c r="F19" i="6" s="1"/>
  <c r="D26" i="6"/>
  <c r="E25" i="14" s="1"/>
  <c r="C13" i="14"/>
  <c r="C45" i="6"/>
  <c r="G8" i="8"/>
  <c r="O10" i="8"/>
  <c r="I25" i="8"/>
  <c r="D33" i="14"/>
  <c r="D32" i="14"/>
  <c r="D31" i="14"/>
  <c r="H29" i="6"/>
  <c r="E29" i="6"/>
  <c r="F11" i="6"/>
  <c r="I19" i="6" s="1"/>
  <c r="I29" i="6"/>
  <c r="D24" i="14"/>
  <c r="D26" i="14"/>
  <c r="H30" i="6"/>
  <c r="E30" i="6"/>
  <c r="I30" i="6"/>
  <c r="D30" i="14"/>
  <c r="H26" i="6"/>
  <c r="J26" i="6"/>
  <c r="E26" i="6"/>
  <c r="E19" i="6"/>
  <c r="G18" i="11"/>
  <c r="G19" i="11"/>
  <c r="G21" i="11"/>
  <c r="G22" i="11"/>
  <c r="G23" i="11"/>
  <c r="G17" i="11"/>
  <c r="F6" i="14"/>
  <c r="F9" i="11" s="1"/>
  <c r="H23" i="11"/>
  <c r="I26" i="6"/>
  <c r="I33" i="6"/>
  <c r="I35" i="6"/>
  <c r="I45" i="6"/>
  <c r="I36" i="6"/>
  <c r="I37" i="6"/>
  <c r="I38" i="6"/>
  <c r="I39" i="6"/>
  <c r="I40" i="6"/>
  <c r="I41" i="6"/>
  <c r="I42" i="6"/>
  <c r="I27" i="6"/>
  <c r="I28" i="6"/>
  <c r="I31" i="6"/>
  <c r="I32" i="6"/>
  <c r="I25" i="6"/>
  <c r="I20" i="6"/>
  <c r="I21" i="6"/>
  <c r="I22" i="6"/>
  <c r="I23" i="6"/>
  <c r="I18" i="6"/>
  <c r="I16" i="6"/>
  <c r="I15" i="6"/>
  <c r="E13" i="14"/>
  <c r="F45" i="6" s="1"/>
  <c r="G36" i="6"/>
  <c r="F36" i="6" s="1"/>
  <c r="D23" i="14"/>
  <c r="D16" i="13"/>
  <c r="H33" i="6"/>
  <c r="D44" i="6"/>
  <c r="E44" i="6" s="1"/>
  <c r="F44" i="6" s="1"/>
  <c r="G44" i="6" s="1"/>
  <c r="H44" i="6" s="1"/>
  <c r="I44" i="6" s="1"/>
  <c r="J44" i="6" s="1"/>
  <c r="K44" i="6" s="1"/>
  <c r="L44" i="6" s="1"/>
  <c r="N44" i="6" s="1"/>
  <c r="O44" i="6" s="1"/>
  <c r="P44" i="6" s="1"/>
  <c r="Q44" i="6" s="1"/>
  <c r="G20" i="6"/>
  <c r="F20" i="6" s="1"/>
  <c r="G16" i="6"/>
  <c r="F16" i="6" s="1"/>
  <c r="G21" i="6"/>
  <c r="G22" i="6"/>
  <c r="G23" i="6"/>
  <c r="G25" i="6"/>
  <c r="F25" i="6" s="1"/>
  <c r="G28" i="6"/>
  <c r="G29" i="6"/>
  <c r="G30" i="6"/>
  <c r="G31" i="6"/>
  <c r="G32" i="6"/>
  <c r="G33" i="6"/>
  <c r="G37" i="6"/>
  <c r="G38" i="6"/>
  <c r="G39" i="6"/>
  <c r="G40" i="6"/>
  <c r="G41" i="6"/>
  <c r="G42" i="6"/>
  <c r="E42" i="6"/>
  <c r="Q42" i="6"/>
  <c r="H45" i="6"/>
  <c r="E45" i="6"/>
  <c r="E18" i="16"/>
  <c r="E15" i="16"/>
  <c r="P19" i="11"/>
  <c r="J29" i="14"/>
  <c r="E33" i="6"/>
  <c r="Q33" i="6"/>
  <c r="J27" i="14" s="1"/>
  <c r="H35" i="6"/>
  <c r="E35" i="6"/>
  <c r="Q35" i="6" s="1"/>
  <c r="J23" i="14" s="1"/>
  <c r="D29" i="14"/>
  <c r="D28" i="14"/>
  <c r="D27" i="14"/>
  <c r="AC3" i="6"/>
  <c r="AC4" i="6"/>
  <c r="AC5" i="6"/>
  <c r="AC6" i="6"/>
  <c r="AC2" i="6"/>
  <c r="G9" i="8"/>
  <c r="B45" i="6"/>
  <c r="E16" i="13"/>
  <c r="F16" i="13"/>
  <c r="G16" i="13"/>
  <c r="H16" i="13"/>
  <c r="C16" i="13"/>
  <c r="K45" i="6"/>
  <c r="D4" i="15"/>
  <c r="D7" i="15"/>
  <c r="E4" i="15"/>
  <c r="E7" i="15" s="1"/>
  <c r="F4" i="15"/>
  <c r="G4" i="15" s="1"/>
  <c r="H4" i="15" s="1"/>
  <c r="C7" i="15"/>
  <c r="M16" i="15"/>
  <c r="H15" i="6"/>
  <c r="H31" i="6"/>
  <c r="H37" i="6"/>
  <c r="H38" i="6"/>
  <c r="H39" i="6"/>
  <c r="H40" i="6"/>
  <c r="H32" i="6"/>
  <c r="F22" i="8"/>
  <c r="I22" i="8"/>
  <c r="R45" i="11"/>
  <c r="Q59" i="8"/>
  <c r="E16" i="6"/>
  <c r="E18" i="6"/>
  <c r="E20" i="6"/>
  <c r="Q20" i="6" s="1"/>
  <c r="E21" i="6"/>
  <c r="E22" i="6"/>
  <c r="E23" i="6"/>
  <c r="E25" i="6"/>
  <c r="E27" i="6"/>
  <c r="E28" i="6"/>
  <c r="E31" i="6"/>
  <c r="E32" i="6"/>
  <c r="E36" i="6"/>
  <c r="E37" i="6"/>
  <c r="Q37" i="6" s="1"/>
  <c r="E38" i="6"/>
  <c r="E39" i="6"/>
  <c r="E40" i="6"/>
  <c r="E41" i="6"/>
  <c r="E15" i="6"/>
  <c r="E15" i="11"/>
  <c r="D15" i="11"/>
  <c r="K16" i="11"/>
  <c r="G31" i="11"/>
  <c r="E18" i="11"/>
  <c r="E19" i="11"/>
  <c r="E20" i="11"/>
  <c r="E21" i="11"/>
  <c r="E22" i="11"/>
  <c r="E23" i="11"/>
  <c r="E24" i="11"/>
  <c r="E17" i="11"/>
  <c r="H5" i="13"/>
  <c r="H6" i="13"/>
  <c r="H7" i="13"/>
  <c r="H8" i="13"/>
  <c r="H9" i="13"/>
  <c r="H11" i="13"/>
  <c r="H12" i="13"/>
  <c r="H13" i="13"/>
  <c r="H14" i="13"/>
  <c r="H4" i="13"/>
  <c r="E30" i="11"/>
  <c r="E31" i="11"/>
  <c r="E32" i="11"/>
  <c r="E33" i="11"/>
  <c r="E34" i="11"/>
  <c r="E35" i="11"/>
  <c r="E29" i="11"/>
  <c r="F39" i="8"/>
  <c r="F17" i="8"/>
  <c r="F18" i="8"/>
  <c r="F21" i="8"/>
  <c r="F23" i="8"/>
  <c r="F25" i="8"/>
  <c r="F26" i="8"/>
  <c r="F29" i="8"/>
  <c r="F30" i="8"/>
  <c r="F31" i="8"/>
  <c r="F32" i="8"/>
  <c r="F33" i="8"/>
  <c r="F34" i="8"/>
  <c r="F35" i="8"/>
  <c r="F36" i="8"/>
  <c r="F38" i="8"/>
  <c r="F40" i="8"/>
  <c r="O40" i="8" s="1"/>
  <c r="F41" i="8"/>
  <c r="F43" i="8"/>
  <c r="F44" i="8"/>
  <c r="F45" i="8"/>
  <c r="F46" i="8"/>
  <c r="F47" i="8"/>
  <c r="J36" i="6"/>
  <c r="J27" i="6"/>
  <c r="Q27" i="6" s="1"/>
  <c r="D27" i="6"/>
  <c r="D36" i="6"/>
  <c r="H16" i="6"/>
  <c r="Q16" i="6"/>
  <c r="H18" i="6"/>
  <c r="Q18" i="6"/>
  <c r="H20" i="6"/>
  <c r="Q21" i="6"/>
  <c r="H22" i="6"/>
  <c r="H23" i="6"/>
  <c r="Q23" i="6"/>
  <c r="H25" i="6"/>
  <c r="Q25" i="6"/>
  <c r="H27" i="6"/>
  <c r="H28" i="6"/>
  <c r="Q28" i="6"/>
  <c r="Q31" i="6"/>
  <c r="H36" i="6"/>
  <c r="Q36" i="6"/>
  <c r="I45" i="8"/>
  <c r="I38" i="8"/>
  <c r="O38" i="8" s="1"/>
  <c r="G29" i="11"/>
  <c r="G30" i="11"/>
  <c r="G34" i="11"/>
  <c r="G35" i="11"/>
  <c r="G28" i="11"/>
  <c r="G14" i="11"/>
  <c r="G15" i="11"/>
  <c r="P15" i="11" s="1"/>
  <c r="I40" i="8"/>
  <c r="P18" i="11"/>
  <c r="Q39" i="6"/>
  <c r="Q15" i="6"/>
  <c r="P22" i="11"/>
  <c r="P23" i="11"/>
  <c r="P21" i="11"/>
  <c r="E28" i="11"/>
  <c r="P28" i="11" s="1"/>
  <c r="E14" i="11"/>
  <c r="P14" i="11" s="1"/>
  <c r="F16" i="8"/>
  <c r="Q38" i="6"/>
  <c r="P35" i="11"/>
  <c r="P34" i="11"/>
  <c r="P31" i="11"/>
  <c r="P30" i="11"/>
  <c r="P29" i="11"/>
  <c r="P17" i="11"/>
  <c r="U42" i="8"/>
  <c r="J64" i="6"/>
  <c r="J53" i="6"/>
  <c r="Q41" i="6"/>
  <c r="T37" i="8"/>
  <c r="T42" i="8"/>
  <c r="D22" i="14" l="1"/>
  <c r="G15" i="6"/>
  <c r="F15" i="6" s="1"/>
  <c r="G27" i="6"/>
  <c r="F27" i="6" s="1"/>
  <c r="G35" i="6"/>
  <c r="F35" i="6" s="1"/>
  <c r="Q22" i="6"/>
  <c r="O25" i="8"/>
  <c r="J33" i="14" s="1"/>
  <c r="G7" i="15"/>
  <c r="Q30" i="6"/>
  <c r="J26" i="14" s="1"/>
  <c r="F7" i="15"/>
  <c r="Q40" i="6"/>
  <c r="O45" i="8"/>
  <c r="H7" i="15"/>
  <c r="I4" i="15"/>
  <c r="I39" i="8"/>
  <c r="I43" i="8"/>
  <c r="I26" i="8"/>
  <c r="I41" i="8"/>
  <c r="I31" i="8"/>
  <c r="I21" i="8"/>
  <c r="I29" i="8"/>
  <c r="I30" i="8"/>
  <c r="I16" i="8"/>
  <c r="I32" i="8"/>
  <c r="I33" i="8"/>
  <c r="I35" i="8"/>
  <c r="I17" i="8"/>
  <c r="I36" i="8"/>
  <c r="I44" i="8"/>
  <c r="I47" i="8"/>
  <c r="G45" i="6"/>
  <c r="Q24" i="15"/>
  <c r="Q26" i="6"/>
  <c r="J25" i="14" s="1"/>
  <c r="P33" i="11"/>
  <c r="J35" i="14" s="1"/>
  <c r="I34" i="8"/>
  <c r="I46" i="8"/>
  <c r="I23" i="8"/>
  <c r="J45" i="6"/>
  <c r="Q45" i="6" s="1"/>
  <c r="J22" i="14" s="1"/>
  <c r="Q21" i="15"/>
  <c r="I18" i="8"/>
  <c r="Q32" i="6"/>
  <c r="H19" i="11"/>
  <c r="H24" i="11"/>
  <c r="H22" i="11"/>
  <c r="H18" i="11"/>
  <c r="H20" i="11"/>
  <c r="H15" i="11"/>
  <c r="H21" i="11"/>
  <c r="H17" i="11"/>
  <c r="H14" i="11"/>
  <c r="Q29" i="6"/>
  <c r="J24" i="14" s="1"/>
  <c r="O22" i="8"/>
  <c r="P22" i="15"/>
  <c r="S3" i="6" s="1"/>
  <c r="G20" i="11"/>
  <c r="G24" i="11"/>
  <c r="H19" i="6"/>
  <c r="G32" i="11"/>
  <c r="G25" i="15"/>
  <c r="G22" i="15"/>
  <c r="H22" i="15" s="1"/>
  <c r="I22" i="15" s="1"/>
  <c r="J22" i="15" s="1"/>
  <c r="K22" i="15" s="1"/>
  <c r="L22" i="15" s="1"/>
  <c r="M22" i="15" s="1"/>
  <c r="N22" i="15" s="1"/>
  <c r="O22" i="15" s="1"/>
  <c r="AB4" i="11"/>
  <c r="G18" i="6"/>
  <c r="F18" i="6" s="1"/>
  <c r="G26" i="6"/>
  <c r="F26" i="6" s="1"/>
  <c r="P21" i="15"/>
  <c r="S2" i="6" s="1"/>
  <c r="P24" i="15"/>
  <c r="S5" i="6" s="1"/>
  <c r="H24" i="15"/>
  <c r="I24" i="15" s="1"/>
  <c r="J24" i="15" s="1"/>
  <c r="K24" i="15" s="1"/>
  <c r="L24" i="15" s="1"/>
  <c r="M24" i="15" s="1"/>
  <c r="N24" i="15" s="1"/>
  <c r="O24" i="15" s="1"/>
  <c r="F23" i="15"/>
  <c r="R5" i="11" l="1"/>
  <c r="Q5" i="8"/>
  <c r="P32" i="11"/>
  <c r="J34" i="14" s="1"/>
  <c r="O46" i="8"/>
  <c r="O26" i="8"/>
  <c r="Q2" i="8"/>
  <c r="J2" i="6"/>
  <c r="R2" i="11"/>
  <c r="Q19" i="6"/>
  <c r="O34" i="8"/>
  <c r="O47" i="8"/>
  <c r="O43" i="8"/>
  <c r="D25" i="14"/>
  <c r="P24" i="11"/>
  <c r="O44" i="8"/>
  <c r="O16" i="8"/>
  <c r="J31" i="14" s="1"/>
  <c r="O39" i="8"/>
  <c r="P20" i="11"/>
  <c r="J28" i="14" s="1"/>
  <c r="O36" i="8"/>
  <c r="O30" i="8"/>
  <c r="O29" i="8"/>
  <c r="O18" i="8"/>
  <c r="O35" i="8"/>
  <c r="O21" i="8"/>
  <c r="J32" i="14" s="1"/>
  <c r="I7" i="15"/>
  <c r="J4" i="15"/>
  <c r="G23" i="15"/>
  <c r="H23" i="15" s="1"/>
  <c r="I23" i="15" s="1"/>
  <c r="J23" i="15" s="1"/>
  <c r="K23" i="15" s="1"/>
  <c r="L23" i="15" s="1"/>
  <c r="M23" i="15" s="1"/>
  <c r="N23" i="15" s="1"/>
  <c r="O23" i="15" s="1"/>
  <c r="P23" i="15"/>
  <c r="S4" i="6" s="1"/>
  <c r="H25" i="15"/>
  <c r="I25" i="15" s="1"/>
  <c r="J25" i="15" s="1"/>
  <c r="K25" i="15" s="1"/>
  <c r="L25" i="15" s="1"/>
  <c r="M25" i="15" s="1"/>
  <c r="N25" i="15" s="1"/>
  <c r="O25" i="15" s="1"/>
  <c r="Q25" i="15"/>
  <c r="O32" i="8"/>
  <c r="J30" i="14" s="1"/>
  <c r="O23" i="8"/>
  <c r="O33" i="8"/>
  <c r="O31" i="8"/>
  <c r="J3" i="6"/>
  <c r="Q3" i="8"/>
  <c r="R3" i="11"/>
  <c r="O17" i="8"/>
  <c r="Q22" i="15"/>
  <c r="P25" i="15"/>
  <c r="S6" i="6" s="1"/>
  <c r="J5" i="6" s="1"/>
  <c r="O41" i="8"/>
  <c r="D19" i="6" l="1"/>
  <c r="D18" i="6"/>
  <c r="N18" i="6" s="1"/>
  <c r="O18" i="6" s="1"/>
  <c r="P18" i="6" s="1"/>
  <c r="D20" i="6"/>
  <c r="N20" i="6" s="1"/>
  <c r="O20" i="6" s="1"/>
  <c r="P20" i="6" s="1"/>
  <c r="I5" i="11"/>
  <c r="K15" i="11" s="1"/>
  <c r="D15" i="6"/>
  <c r="N15" i="6" s="1"/>
  <c r="O15" i="6" s="1"/>
  <c r="P15" i="6" s="1"/>
  <c r="L27" i="6"/>
  <c r="K5" i="8"/>
  <c r="L26" i="6"/>
  <c r="L35" i="6"/>
  <c r="M35" i="6" s="1"/>
  <c r="F23" i="14" s="1"/>
  <c r="D35" i="6"/>
  <c r="N35" i="6" s="1"/>
  <c r="D25" i="6"/>
  <c r="N25" i="6" s="1"/>
  <c r="O25" i="6" s="1"/>
  <c r="P25" i="6" s="1"/>
  <c r="L36" i="6"/>
  <c r="L25" i="6"/>
  <c r="M25" i="6" s="1"/>
  <c r="L18" i="6"/>
  <c r="M18" i="6" s="1"/>
  <c r="L20" i="6"/>
  <c r="M20" i="6" s="1"/>
  <c r="L15" i="6"/>
  <c r="M15" i="6" s="1"/>
  <c r="L19" i="6"/>
  <c r="M19" i="6" s="1"/>
  <c r="D41" i="6"/>
  <c r="N41" i="6" s="1"/>
  <c r="O41" i="6" s="1"/>
  <c r="D23" i="6"/>
  <c r="N23" i="6" s="1"/>
  <c r="O23" i="6" s="1"/>
  <c r="P23" i="6" s="1"/>
  <c r="D39" i="6"/>
  <c r="N39" i="6" s="1"/>
  <c r="O39" i="6" s="1"/>
  <c r="P39" i="6" s="1"/>
  <c r="I3" i="11"/>
  <c r="D29" i="6"/>
  <c r="D21" i="6"/>
  <c r="N21" i="6" s="1"/>
  <c r="O21" i="6" s="1"/>
  <c r="K3" i="8"/>
  <c r="D31" i="6"/>
  <c r="N31" i="6" s="1"/>
  <c r="O31" i="6" s="1"/>
  <c r="P31" i="6" s="1"/>
  <c r="D38" i="6"/>
  <c r="N38" i="6" s="1"/>
  <c r="O38" i="6" s="1"/>
  <c r="D30" i="6"/>
  <c r="L37" i="6"/>
  <c r="M37" i="6" s="1"/>
  <c r="L41" i="6"/>
  <c r="M41" i="6" s="1"/>
  <c r="L31" i="6"/>
  <c r="M31" i="6" s="1"/>
  <c r="L21" i="6"/>
  <c r="M21" i="6" s="1"/>
  <c r="L16" i="6"/>
  <c r="M16" i="6" s="1"/>
  <c r="D28" i="6"/>
  <c r="N28" i="6" s="1"/>
  <c r="O28" i="6" s="1"/>
  <c r="L23" i="6"/>
  <c r="M23" i="6" s="1"/>
  <c r="D32" i="6"/>
  <c r="N32" i="6" s="1"/>
  <c r="O32" i="6" s="1"/>
  <c r="D37" i="6"/>
  <c r="N37" i="6" s="1"/>
  <c r="O37" i="6" s="1"/>
  <c r="P37" i="6" s="1"/>
  <c r="D40" i="6"/>
  <c r="N40" i="6" s="1"/>
  <c r="O40" i="6" s="1"/>
  <c r="D16" i="6"/>
  <c r="N16" i="6" s="1"/>
  <c r="O16" i="6" s="1"/>
  <c r="D22" i="6"/>
  <c r="N22" i="6" s="1"/>
  <c r="O22" i="6" s="1"/>
  <c r="P22" i="6" s="1"/>
  <c r="L22" i="6"/>
  <c r="M22" i="6" s="1"/>
  <c r="L32" i="6"/>
  <c r="M32" i="6" s="1"/>
  <c r="L28" i="6"/>
  <c r="M28" i="6" s="1"/>
  <c r="L29" i="6"/>
  <c r="M29" i="6" s="1"/>
  <c r="F24" i="14" s="1"/>
  <c r="L40" i="6"/>
  <c r="M40" i="6" s="1"/>
  <c r="L38" i="6"/>
  <c r="M38" i="6" s="1"/>
  <c r="L30" i="6"/>
  <c r="M30" i="6" s="1"/>
  <c r="F26" i="14" s="1"/>
  <c r="L39" i="6"/>
  <c r="M39" i="6" s="1"/>
  <c r="D45" i="6"/>
  <c r="E22" i="14" s="1"/>
  <c r="D42" i="6"/>
  <c r="I2" i="11"/>
  <c r="K2" i="8"/>
  <c r="L42" i="6"/>
  <c r="M42" i="6" s="1"/>
  <c r="Q23" i="15"/>
  <c r="Q6" i="8"/>
  <c r="R6" i="11"/>
  <c r="Q4" i="8"/>
  <c r="R4" i="11"/>
  <c r="J4" i="6"/>
  <c r="K4" i="15"/>
  <c r="J7" i="15"/>
  <c r="L45" i="6"/>
  <c r="G23" i="14" l="1"/>
  <c r="O35" i="6"/>
  <c r="S17" i="6"/>
  <c r="S21" i="6"/>
  <c r="S20" i="6"/>
  <c r="V20" i="6" s="1"/>
  <c r="W20" i="6" s="1"/>
  <c r="P21" i="6"/>
  <c r="S16" i="6"/>
  <c r="S15" i="6"/>
  <c r="S22" i="6"/>
  <c r="S18" i="6"/>
  <c r="S23" i="6"/>
  <c r="M26" i="6"/>
  <c r="F25" i="14" s="1"/>
  <c r="N26" i="6"/>
  <c r="N45" i="6"/>
  <c r="M45" i="6"/>
  <c r="F22" i="14" s="1"/>
  <c r="P16" i="6"/>
  <c r="U15" i="6"/>
  <c r="N29" i="6"/>
  <c r="E24" i="14"/>
  <c r="U39" i="6"/>
  <c r="P40" i="6"/>
  <c r="D32" i="11"/>
  <c r="D19" i="11"/>
  <c r="D23" i="11"/>
  <c r="D34" i="11"/>
  <c r="M34" i="11" s="1"/>
  <c r="N34" i="11" s="1"/>
  <c r="O34" i="11" s="1"/>
  <c r="D33" i="11"/>
  <c r="D20" i="11"/>
  <c r="D31" i="11"/>
  <c r="M31" i="11" s="1"/>
  <c r="N31" i="11" s="1"/>
  <c r="D30" i="11"/>
  <c r="M30" i="11" s="1"/>
  <c r="N30" i="11" s="1"/>
  <c r="O30" i="11" s="1"/>
  <c r="D21" i="11"/>
  <c r="D18" i="11"/>
  <c r="D14" i="11"/>
  <c r="D29" i="11"/>
  <c r="M29" i="11" s="1"/>
  <c r="N29" i="11" s="1"/>
  <c r="O29" i="11" s="1"/>
  <c r="D17" i="11"/>
  <c r="D28" i="11"/>
  <c r="M28" i="11" s="1"/>
  <c r="N28" i="11" s="1"/>
  <c r="O28" i="11" s="1"/>
  <c r="D24" i="11"/>
  <c r="D35" i="11"/>
  <c r="M35" i="11" s="1"/>
  <c r="N35" i="11" s="1"/>
  <c r="O35" i="11" s="1"/>
  <c r="M27" i="6"/>
  <c r="N27" i="6"/>
  <c r="O27" i="6" s="1"/>
  <c r="P27" i="6" s="1"/>
  <c r="L4" i="15"/>
  <c r="K7" i="15"/>
  <c r="E26" i="8"/>
  <c r="L26" i="8" s="1"/>
  <c r="M26" i="8" s="1"/>
  <c r="N26" i="8" s="1"/>
  <c r="E40" i="8"/>
  <c r="L40" i="8" s="1"/>
  <c r="M40" i="8" s="1"/>
  <c r="N40" i="8" s="1"/>
  <c r="E44" i="8"/>
  <c r="L44" i="8" s="1"/>
  <c r="M44" i="8" s="1"/>
  <c r="N44" i="8" s="1"/>
  <c r="E36" i="8"/>
  <c r="L36" i="8" s="1"/>
  <c r="M36" i="8" s="1"/>
  <c r="N36" i="8" s="1"/>
  <c r="E18" i="8"/>
  <c r="L18" i="8" s="1"/>
  <c r="M18" i="8" s="1"/>
  <c r="N18" i="8" s="1"/>
  <c r="E39" i="8"/>
  <c r="L39" i="8" s="1"/>
  <c r="M39" i="8" s="1"/>
  <c r="N39" i="8" s="1"/>
  <c r="P32" i="6"/>
  <c r="E26" i="14"/>
  <c r="N30" i="6"/>
  <c r="N36" i="6"/>
  <c r="O36" i="6" s="1"/>
  <c r="P36" i="6" s="1"/>
  <c r="M36" i="6"/>
  <c r="L15" i="11"/>
  <c r="M15" i="11"/>
  <c r="N15" i="11" s="1"/>
  <c r="O15" i="11" s="1"/>
  <c r="D33" i="6"/>
  <c r="I4" i="11"/>
  <c r="D22" i="11" s="1"/>
  <c r="K4" i="8"/>
  <c r="L33" i="6"/>
  <c r="M33" i="6" s="1"/>
  <c r="F27" i="14" s="1"/>
  <c r="U37" i="6"/>
  <c r="P38" i="6"/>
  <c r="S40" i="6"/>
  <c r="S42" i="6"/>
  <c r="S39" i="6"/>
  <c r="S35" i="6"/>
  <c r="P41" i="6"/>
  <c r="S38" i="6"/>
  <c r="S37" i="6"/>
  <c r="E28" i="14"/>
  <c r="N42" i="6"/>
  <c r="O42" i="6" s="1"/>
  <c r="P42" i="6" s="1"/>
  <c r="P28" i="6"/>
  <c r="U25" i="6"/>
  <c r="E25" i="8"/>
  <c r="E38" i="8"/>
  <c r="L38" i="8" s="1"/>
  <c r="M38" i="8" s="1"/>
  <c r="E21" i="8"/>
  <c r="E16" i="8"/>
  <c r="E34" i="8"/>
  <c r="L34" i="8" s="1"/>
  <c r="M34" i="8" s="1"/>
  <c r="E29" i="8"/>
  <c r="L29" i="8" s="1"/>
  <c r="E23" i="8"/>
  <c r="L23" i="8" s="1"/>
  <c r="M23" i="8" s="1"/>
  <c r="E31" i="8"/>
  <c r="L31" i="8" s="1"/>
  <c r="E46" i="8"/>
  <c r="L46" i="8" s="1"/>
  <c r="M46" i="8" s="1"/>
  <c r="E32" i="8"/>
  <c r="E35" i="8"/>
  <c r="L35" i="8" s="1"/>
  <c r="M35" i="8" s="1"/>
  <c r="N35" i="8" s="1"/>
  <c r="E30" i="8"/>
  <c r="L30" i="8" s="1"/>
  <c r="E22" i="8"/>
  <c r="L22" i="8" s="1"/>
  <c r="M22" i="8" s="1"/>
  <c r="N22" i="8" s="1"/>
  <c r="E17" i="8"/>
  <c r="L17" i="8" s="1"/>
  <c r="M17" i="8" s="1"/>
  <c r="E41" i="8"/>
  <c r="L41" i="8" s="1"/>
  <c r="M41" i="8" s="1"/>
  <c r="N41" i="8" s="1"/>
  <c r="E43" i="8"/>
  <c r="L43" i="8" s="1"/>
  <c r="M43" i="8" s="1"/>
  <c r="E23" i="14"/>
  <c r="N19" i="6"/>
  <c r="O19" i="6" s="1"/>
  <c r="P19" i="6" s="1"/>
  <c r="U36" i="6" l="1"/>
  <c r="S36" i="6"/>
  <c r="E31" i="14"/>
  <c r="L16" i="8"/>
  <c r="M18" i="11"/>
  <c r="N18" i="11" s="1"/>
  <c r="O18" i="11" s="1"/>
  <c r="K18" i="11"/>
  <c r="L18" i="11" s="1"/>
  <c r="E29" i="14"/>
  <c r="M19" i="11"/>
  <c r="K19" i="11"/>
  <c r="L19" i="11" s="1"/>
  <c r="F29" i="14" s="1"/>
  <c r="S19" i="6"/>
  <c r="V19" i="6" s="1"/>
  <c r="W19" i="6" s="1"/>
  <c r="E32" i="14"/>
  <c r="L21" i="8"/>
  <c r="M21" i="11"/>
  <c r="N21" i="11" s="1"/>
  <c r="K21" i="11"/>
  <c r="L21" i="11" s="1"/>
  <c r="E34" i="14"/>
  <c r="M32" i="11"/>
  <c r="G22" i="14"/>
  <c r="O45" i="6"/>
  <c r="E30" i="14"/>
  <c r="L32" i="8"/>
  <c r="G30" i="14" s="1"/>
  <c r="F30" i="14" s="1"/>
  <c r="Q41" i="8"/>
  <c r="Q40" i="8"/>
  <c r="Q39" i="8"/>
  <c r="N38" i="8"/>
  <c r="S39" i="8"/>
  <c r="G25" i="14"/>
  <c r="O26" i="6"/>
  <c r="Q46" i="8"/>
  <c r="N46" i="8"/>
  <c r="Q44" i="8"/>
  <c r="Q43" i="8"/>
  <c r="E33" i="14"/>
  <c r="L25" i="8"/>
  <c r="M24" i="11"/>
  <c r="N24" i="11" s="1"/>
  <c r="O24" i="11" s="1"/>
  <c r="K24" i="11"/>
  <c r="L24" i="11" s="1"/>
  <c r="R31" i="11"/>
  <c r="R35" i="11"/>
  <c r="R29" i="11"/>
  <c r="O31" i="11"/>
  <c r="R30" i="11"/>
  <c r="R34" i="11"/>
  <c r="R28" i="11"/>
  <c r="G26" i="14"/>
  <c r="O30" i="6"/>
  <c r="Q22" i="8"/>
  <c r="T22" i="8" s="1"/>
  <c r="U22" i="8" s="1"/>
  <c r="N23" i="8"/>
  <c r="E35" i="14"/>
  <c r="M33" i="11"/>
  <c r="M29" i="8"/>
  <c r="N29" i="8" s="1"/>
  <c r="M32" i="8"/>
  <c r="M30" i="8"/>
  <c r="N30" i="8" s="1"/>
  <c r="M31" i="8"/>
  <c r="N31" i="8" s="1"/>
  <c r="M33" i="8"/>
  <c r="N33" i="8" s="1"/>
  <c r="U42" i="6"/>
  <c r="M22" i="11"/>
  <c r="N22" i="11" s="1"/>
  <c r="O22" i="11" s="1"/>
  <c r="K22" i="11"/>
  <c r="L22" i="11" s="1"/>
  <c r="P35" i="6"/>
  <c r="I23" i="14" s="1"/>
  <c r="H23" i="14"/>
  <c r="S44" i="8"/>
  <c r="N43" i="8"/>
  <c r="K20" i="11"/>
  <c r="L20" i="11" s="1"/>
  <c r="F28" i="14" s="1"/>
  <c r="M20" i="11"/>
  <c r="E47" i="8"/>
  <c r="L47" i="8" s="1"/>
  <c r="M47" i="8" s="1"/>
  <c r="N47" i="8" s="1"/>
  <c r="E45" i="8"/>
  <c r="L45" i="8" s="1"/>
  <c r="M45" i="8" s="1"/>
  <c r="N45" i="8" s="1"/>
  <c r="E33" i="8"/>
  <c r="L33" i="8" s="1"/>
  <c r="M17" i="11"/>
  <c r="N17" i="11" s="1"/>
  <c r="O17" i="11" s="1"/>
  <c r="K17" i="11"/>
  <c r="L17" i="11" s="1"/>
  <c r="O29" i="6"/>
  <c r="G24" i="14"/>
  <c r="N17" i="8"/>
  <c r="S18" i="8"/>
  <c r="S36" i="8"/>
  <c r="N34" i="8"/>
  <c r="E27" i="14"/>
  <c r="N33" i="6"/>
  <c r="L7" i="15"/>
  <c r="M7" i="15" s="1"/>
  <c r="M4" i="15"/>
  <c r="M14" i="11"/>
  <c r="N14" i="11" s="1"/>
  <c r="K14" i="11"/>
  <c r="L14" i="11" s="1"/>
  <c r="M23" i="11"/>
  <c r="N23" i="11" s="1"/>
  <c r="O23" i="11" s="1"/>
  <c r="K23" i="11"/>
  <c r="L23" i="11" s="1"/>
  <c r="G27" i="14" l="1"/>
  <c r="O33" i="6"/>
  <c r="P45" i="6"/>
  <c r="I22" i="14" s="1"/>
  <c r="H22" i="14"/>
  <c r="S29" i="6"/>
  <c r="S33" i="6"/>
  <c r="P30" i="6"/>
  <c r="I26" i="14" s="1"/>
  <c r="S26" i="6"/>
  <c r="S27" i="6"/>
  <c r="S31" i="6"/>
  <c r="V33" i="6" s="1"/>
  <c r="H26" i="14"/>
  <c r="S30" i="6"/>
  <c r="V32" i="6" s="1"/>
  <c r="S28" i="6"/>
  <c r="S25" i="6"/>
  <c r="S32" i="6"/>
  <c r="Q47" i="8"/>
  <c r="Q32" i="8"/>
  <c r="N32" i="8"/>
  <c r="I30" i="14" s="1"/>
  <c r="Q30" i="8"/>
  <c r="H30" i="14"/>
  <c r="Q35" i="8"/>
  <c r="Q33" i="8"/>
  <c r="Q29" i="8"/>
  <c r="Q31" i="8"/>
  <c r="Q34" i="8"/>
  <c r="S33" i="8"/>
  <c r="Q36" i="8"/>
  <c r="G34" i="14"/>
  <c r="F34" i="14" s="1"/>
  <c r="N32" i="11"/>
  <c r="G29" i="14"/>
  <c r="N19" i="11"/>
  <c r="G28" i="14"/>
  <c r="N20" i="11"/>
  <c r="R20" i="11"/>
  <c r="R17" i="11"/>
  <c r="T22" i="11"/>
  <c r="R24" i="11"/>
  <c r="R21" i="11"/>
  <c r="R22" i="11"/>
  <c r="R18" i="11"/>
  <c r="R23" i="11"/>
  <c r="O21" i="11"/>
  <c r="M25" i="8"/>
  <c r="G33" i="14"/>
  <c r="F33" i="14" s="1"/>
  <c r="Q45" i="8"/>
  <c r="M21" i="8"/>
  <c r="G32" i="14"/>
  <c r="F32" i="14" s="1"/>
  <c r="G31" i="14"/>
  <c r="F31" i="14" s="1"/>
  <c r="M16" i="8"/>
  <c r="G35" i="14"/>
  <c r="F35" i="14" s="1"/>
  <c r="N33" i="11"/>
  <c r="R15" i="11"/>
  <c r="R14" i="11"/>
  <c r="O14" i="11"/>
  <c r="S47" i="8"/>
  <c r="H24" i="14"/>
  <c r="P29" i="6"/>
  <c r="I24" i="14" s="1"/>
  <c r="U26" i="6"/>
  <c r="S45" i="8"/>
  <c r="H25" i="14"/>
  <c r="P26" i="6"/>
  <c r="I25" i="14" s="1"/>
  <c r="N21" i="8" l="1"/>
  <c r="I32" i="14" s="1"/>
  <c r="H32" i="14"/>
  <c r="Q21" i="8"/>
  <c r="H29" i="14"/>
  <c r="O19" i="11"/>
  <c r="I29" i="14" s="1"/>
  <c r="H27" i="14"/>
  <c r="P33" i="6"/>
  <c r="I27" i="14" s="1"/>
  <c r="U33" i="6"/>
  <c r="O32" i="11"/>
  <c r="I34" i="14" s="1"/>
  <c r="H34" i="14"/>
  <c r="R32" i="11"/>
  <c r="O33" i="11"/>
  <c r="I35" i="14" s="1"/>
  <c r="H35" i="14"/>
  <c r="R33" i="11"/>
  <c r="Q26" i="8"/>
  <c r="N25" i="8"/>
  <c r="I33" i="14" s="1"/>
  <c r="H33" i="14"/>
  <c r="S26" i="8"/>
  <c r="H31" i="14"/>
  <c r="N16" i="8"/>
  <c r="I31" i="14" s="1"/>
  <c r="Q18" i="8"/>
  <c r="Q17" i="8"/>
  <c r="R19" i="11"/>
  <c r="U19" i="11" s="1"/>
  <c r="V19" i="11" s="1"/>
  <c r="H28" i="14"/>
  <c r="O20" i="11"/>
  <c r="I28" i="14" s="1"/>
</calcChain>
</file>

<file path=xl/sharedStrings.xml><?xml version="1.0" encoding="utf-8"?>
<sst xmlns="http://schemas.openxmlformats.org/spreadsheetml/2006/main" count="616" uniqueCount="316">
  <si>
    <t xml:space="preserve"> Model Fuel Price Based on 10 Year % Price Change Projections (2)</t>
  </si>
  <si>
    <t>CNG (gge)</t>
  </si>
  <si>
    <t>Projected Model Fuel Price  ------&gt;</t>
  </si>
  <si>
    <t>Gasoline (gal)</t>
  </si>
  <si>
    <t>B20 (gal)</t>
  </si>
  <si>
    <t>Electricity (gallon equivalent basis)  33*$/kWh</t>
  </si>
  <si>
    <t>kWh rate (Nightime)</t>
  </si>
  <si>
    <t xml:space="preserve">Plug-In </t>
  </si>
  <si>
    <t>See EV</t>
  </si>
  <si>
    <t>kWh rate (Daytime)</t>
  </si>
  <si>
    <t>INPUT ESTIMATED ANNUAL MILEAGE FOR VEHICLE BEING CONSIDERED:</t>
  </si>
  <si>
    <t>Savings or Cost (-)</t>
  </si>
  <si>
    <t>Higher Cost</t>
  </si>
  <si>
    <t>INPUT ESTIMATED DAILY MILEAGE FOR VEHICLE BEING CONSIDERED:</t>
  </si>
  <si>
    <t>Supplemental Ten Year Comparisons:</t>
  </si>
  <si>
    <t>Net Fuel and Capital Cost:</t>
  </si>
  <si>
    <t>Passenger Cars</t>
  </si>
  <si>
    <r>
      <t xml:space="preserve">Fuel Type </t>
    </r>
    <r>
      <rPr>
        <b/>
        <sz val="10"/>
        <color indexed="8"/>
        <rFont val="Calibri"/>
        <family val="2"/>
        <scheme val="minor"/>
      </rPr>
      <t>(select from drop down list)</t>
    </r>
  </si>
  <si>
    <t xml:space="preserve">Fuel Cost          (Per Gallon)  </t>
  </si>
  <si>
    <r>
      <t>CO</t>
    </r>
    <r>
      <rPr>
        <b/>
        <vertAlign val="subscript"/>
        <sz val="14"/>
        <color indexed="8"/>
        <rFont val="Calibri"/>
        <scheme val="minor"/>
      </rPr>
      <t>2</t>
    </r>
    <r>
      <rPr>
        <b/>
        <sz val="14"/>
        <color indexed="8"/>
        <rFont val="Calibri"/>
        <family val="2"/>
        <scheme val="minor"/>
      </rPr>
      <t xml:space="preserve">   (lbs/gallon) (3,4)</t>
    </r>
  </si>
  <si>
    <r>
      <t xml:space="preserve">Net MSRP (5)    </t>
    </r>
    <r>
      <rPr>
        <b/>
        <i/>
        <sz val="10"/>
        <color indexed="8"/>
        <rFont val="Calibri"/>
        <family val="2"/>
      </rPr>
      <t>(minus any grant or fed rebate)</t>
    </r>
  </si>
  <si>
    <t>Federal Rebate (6)</t>
  </si>
  <si>
    <t>Average  Annual Mileage Projected (7)</t>
  </si>
  <si>
    <t xml:space="preserve">Average Daily Mileage </t>
  </si>
  <si>
    <r>
      <t xml:space="preserve">EPA </t>
    </r>
    <r>
      <rPr>
        <b/>
        <sz val="14"/>
        <color indexed="10"/>
        <rFont val="Calibri"/>
        <family val="2"/>
      </rPr>
      <t>City</t>
    </r>
    <r>
      <rPr>
        <b/>
        <sz val="14"/>
        <color indexed="8"/>
        <rFont val="Calibri"/>
        <family val="2"/>
      </rPr>
      <t xml:space="preserve"> MPG(e) Rating (8)</t>
    </r>
  </si>
  <si>
    <t>EPA Emission Score (8)</t>
  </si>
  <si>
    <t>Daily Fuel Cost (9)</t>
  </si>
  <si>
    <t xml:space="preserve">10 yearl Fuel Cost </t>
  </si>
  <si>
    <t xml:space="preserve">Capital and Fuel Cost </t>
  </si>
  <si>
    <t>Annualized Ave Cap and Fuel Cost</t>
  </si>
  <si>
    <t>Estimated Total CO2 Emissions (tons)  (4)</t>
  </si>
  <si>
    <t xml:space="preserve">compared to </t>
  </si>
  <si>
    <t>Gasoline version of this vehicle versus</t>
  </si>
  <si>
    <t>10 Year Net Cost</t>
  </si>
  <si>
    <t>% payback of AFV</t>
  </si>
  <si>
    <t>Full Payback of AFV in x Years versus gas at this miles/yr</t>
  </si>
  <si>
    <t>BENCHMARK</t>
  </si>
  <si>
    <t>AFV</t>
  </si>
  <si>
    <t>Small</t>
  </si>
  <si>
    <t>2017 Smart Fortwo EV</t>
  </si>
  <si>
    <t>electric</t>
  </si>
  <si>
    <t xml:space="preserve">2017 Smart Fortwo </t>
  </si>
  <si>
    <t>gasoline</t>
  </si>
  <si>
    <t>NA</t>
  </si>
  <si>
    <t>Subcompact</t>
  </si>
  <si>
    <t xml:space="preserve">2017 Chevy Bolt </t>
  </si>
  <si>
    <t xml:space="preserve">2018 Nissan Leaf </t>
  </si>
  <si>
    <t xml:space="preserve">2018 Chev Spark Hatchback </t>
  </si>
  <si>
    <t>2018 Prius C Hybrid</t>
  </si>
  <si>
    <t xml:space="preserve">2018 Honda Fit </t>
  </si>
  <si>
    <t>Compact</t>
  </si>
  <si>
    <t xml:space="preserve">2018 Ford Focus Electric </t>
  </si>
  <si>
    <t>2017 Prius Prime</t>
  </si>
  <si>
    <t>plug-in</t>
  </si>
  <si>
    <t>2018 Chevrolet Volt</t>
  </si>
  <si>
    <t>2018 Ford Focus Sedan</t>
  </si>
  <si>
    <t>2018 Prius Eco Hybrid</t>
  </si>
  <si>
    <t>2018 Chevrolet Sonic Sedan</t>
  </si>
  <si>
    <t xml:space="preserve">2018 Chevrolet Cruze </t>
  </si>
  <si>
    <t>2018 Chevrolet Cruze Diesel</t>
  </si>
  <si>
    <t>biodiesel</t>
  </si>
  <si>
    <t>Midsize</t>
  </si>
  <si>
    <t>Tesla Model 3</t>
  </si>
  <si>
    <t>2018 Chevrolet Malibu Hybrid</t>
  </si>
  <si>
    <t>2018 Chevrolet Malibu</t>
  </si>
  <si>
    <t xml:space="preserve">2018 Honda Civic Sedan </t>
  </si>
  <si>
    <t>cng</t>
  </si>
  <si>
    <t>ADD YOUR OWN: (10 )</t>
  </si>
  <si>
    <t>Vehicle Name</t>
  </si>
  <si>
    <t>Consider a UNH Fleet Bike:  (2017 Priority Bikes) durable bike with no ferrous material, only has a capital and maintenance 10 year cost of $1000</t>
  </si>
  <si>
    <t>2011 Ford Fiesta Auto SE 12 gal</t>
  </si>
  <si>
    <t>2012 Nissan Leaf</t>
  </si>
  <si>
    <t>Vans</t>
  </si>
  <si>
    <t>Ford Transit Connect gas 15 gal</t>
  </si>
  <si>
    <t>Ford Transit Connect CNG 14.4gge</t>
  </si>
  <si>
    <t>2010 Silverado 2500 26 gal</t>
  </si>
  <si>
    <t>2010 Siverado 2500 WT  24gge</t>
  </si>
  <si>
    <t>Chev Savana Cargo Van 2500 4.8L  2wd 31 gal gas</t>
  </si>
  <si>
    <t>Chev Savanah Cargo 2500 5.4L  2wd 31 gge CNG</t>
  </si>
  <si>
    <t>Shuttles</t>
  </si>
  <si>
    <t>Ford E350 RV  35 gal 5.4L 5 speed auto</t>
  </si>
  <si>
    <t>Ford E350 RV  31.6 gge CNG  5.4L 5 speed auto</t>
  </si>
  <si>
    <t>Chev Express  Pass Van 2500 6L  2wd 31 gal gas</t>
  </si>
  <si>
    <t>Chev Express 1500 5.3L  2wd 31 gge CNG</t>
  </si>
  <si>
    <t>TRUCK</t>
  </si>
  <si>
    <t>GMC Topkick ck31403 3500 6.0L v8 63.5 gal 1 ton flatbed gas</t>
  </si>
  <si>
    <r>
      <rPr>
        <b/>
        <sz val="14"/>
        <color indexed="8"/>
        <rFont val="Calibri"/>
        <family val="2"/>
      </rPr>
      <t>Diesel Option</t>
    </r>
    <r>
      <rPr>
        <sz val="14"/>
        <color indexed="8"/>
        <rFont val="Calibri"/>
        <family val="2"/>
      </rPr>
      <t>:   6.6  turbodiesel (for B20 use)</t>
    </r>
  </si>
  <si>
    <r>
      <rPr>
        <b/>
        <sz val="14"/>
        <color indexed="8"/>
        <rFont val="Calibri"/>
        <family val="2"/>
      </rPr>
      <t>CNG Option</t>
    </r>
    <r>
      <rPr>
        <sz val="14"/>
        <color indexed="8"/>
        <rFont val="Calibri"/>
        <family val="2"/>
      </rPr>
      <t>:   with min 41 gge tank</t>
    </r>
  </si>
  <si>
    <t>Hybrid Option - N/A</t>
  </si>
  <si>
    <t>2011  Chev Aveo (sub-compact comparitor)</t>
  </si>
  <si>
    <t>2011  Honda Fit (sub-compact comparitor)</t>
  </si>
  <si>
    <r>
      <rPr>
        <b/>
        <sz val="14"/>
        <rFont val="Calibri"/>
        <family val="2"/>
      </rPr>
      <t xml:space="preserve">2012 </t>
    </r>
    <r>
      <rPr>
        <sz val="14"/>
        <rFont val="Calibri"/>
        <family val="2"/>
      </rPr>
      <t>Nissan Leaf (all electric) after negotiated tax credit</t>
    </r>
  </si>
  <si>
    <t>For Electric/Plug-In Vehicles: See “EV Details” for Range, Battery Size, Charge Time, MPGe, MPG</t>
  </si>
  <si>
    <t>(1) Price based on AFDC.energ.gov quarterly Fuel Price Report for New England minus NH Fuel Tax Rate ($0.43)</t>
  </si>
  <si>
    <r>
      <t>CO</t>
    </r>
    <r>
      <rPr>
        <b/>
        <vertAlign val="subscript"/>
        <sz val="14"/>
        <color indexed="8"/>
        <rFont val="Calibri"/>
      </rPr>
      <t>2</t>
    </r>
    <r>
      <rPr>
        <b/>
        <sz val="14"/>
        <color indexed="8"/>
        <rFont val="Calibri"/>
        <family val="2"/>
      </rPr>
      <t xml:space="preserve"> generation rate  lb/gal (gge)</t>
    </r>
  </si>
  <si>
    <t xml:space="preserve">(2) Based on trends over the past 10 years given by “AFDC Special Price Variability Report 2016” </t>
  </si>
  <si>
    <t>UL</t>
  </si>
  <si>
    <t>Electricity Pricing is based on UNH data for daytime vs nighttime charging ratio  (1 gal = 33kwh = 112,000 btu)/ MPGe is in Kwh/100 miles per EPA website</t>
  </si>
  <si>
    <t>CNG</t>
  </si>
  <si>
    <r>
      <t>(3) Electric CO</t>
    </r>
    <r>
      <rPr>
        <vertAlign val="subscript"/>
        <sz val="12"/>
        <color theme="1"/>
        <rFont val="Cambria"/>
      </rPr>
      <t>2</t>
    </r>
    <r>
      <rPr>
        <sz val="12"/>
        <color theme="1"/>
        <rFont val="Cambria"/>
      </rPr>
      <t xml:space="preserve">=0; No tailpipe emissions and UNH is a carbon neutral institution for power production   </t>
    </r>
  </si>
  <si>
    <t>Electric (UNH)</t>
  </si>
  <si>
    <r>
      <t>(4) Plug-in CO</t>
    </r>
    <r>
      <rPr>
        <vertAlign val="subscript"/>
        <sz val="12"/>
        <color theme="1"/>
        <rFont val="Cambria"/>
      </rPr>
      <t>2</t>
    </r>
    <r>
      <rPr>
        <sz val="12"/>
        <color theme="1"/>
        <rFont val="Cambria"/>
      </rPr>
      <t>=23 lbs/gal is based on purely gasoline CO</t>
    </r>
    <r>
      <rPr>
        <vertAlign val="subscript"/>
        <sz val="12"/>
        <color theme="1"/>
        <rFont val="Cambria"/>
      </rPr>
      <t>2</t>
    </r>
    <r>
      <rPr>
        <sz val="12"/>
        <color theme="1"/>
        <rFont val="Cambria"/>
      </rPr>
      <t xml:space="preserve"> emissions, the actual emissions will be less due to the miles driven using only electric power </t>
    </r>
  </si>
  <si>
    <t>Diesel</t>
  </si>
  <si>
    <t>(5) Best case scenario based on negotiation of full credit @ MSRP – Tax Credit would pay difference up to maximum, MSRP is based on base model of vehicles</t>
  </si>
  <si>
    <t>B20</t>
  </si>
  <si>
    <t>(6) Current Federal Tax Credit for EV and PHEV, tax credit will be phased out when manufacturers sell more than 200,000 EV/PHEV’s</t>
  </si>
  <si>
    <t>Plug-in (UL)</t>
  </si>
  <si>
    <t>(7) Default is based on 2008-2017 UNH annual odometer data of targeted replacement vehicle or similar assigned in fleet or as directed, can be changed for case by case basis</t>
  </si>
  <si>
    <t>(8) From USDOE/EPA website 10 is best in class tailpipe emissions  http://www.fueleconomy.gov/</t>
  </si>
  <si>
    <t>(9) Daily fuel cost based on daily mileage to find fuel cost of PHEV when switching between fuel types based on one charge per day</t>
  </si>
  <si>
    <t>(10) New option to add vehicle not listed in spreadsheet, use values from http://www.fueleconomy.gov/</t>
  </si>
  <si>
    <t xml:space="preserve">  </t>
  </si>
  <si>
    <t>Fuel</t>
  </si>
  <si>
    <t>NOTE new 50C rebate</t>
  </si>
  <si>
    <t>Cargo Vehicles</t>
  </si>
  <si>
    <r>
      <t xml:space="preserve">Fuel Type </t>
    </r>
    <r>
      <rPr>
        <b/>
        <sz val="10"/>
        <color indexed="8"/>
        <rFont val="Calibri"/>
        <family val="2"/>
        <scheme val="minor"/>
      </rPr>
      <t>(Select from drop down list)</t>
    </r>
    <r>
      <rPr>
        <b/>
        <sz val="14"/>
        <color indexed="8"/>
        <rFont val="Calibri"/>
        <family val="2"/>
        <scheme val="minor"/>
      </rPr>
      <t xml:space="preserve"> </t>
    </r>
  </si>
  <si>
    <r>
      <t xml:space="preserve">Net MSRP (5) </t>
    </r>
    <r>
      <rPr>
        <b/>
        <i/>
        <sz val="10"/>
        <color indexed="8"/>
        <rFont val="Calibri"/>
        <family val="2"/>
      </rPr>
      <t>(minus any grant or fed rebate)</t>
    </r>
  </si>
  <si>
    <t>Actual price minus electric rebate</t>
  </si>
  <si>
    <t>Average Annual Mileage  (7)</t>
  </si>
  <si>
    <t xml:space="preserve">Fuel cost </t>
  </si>
  <si>
    <r>
      <t>Estimated Total CO</t>
    </r>
    <r>
      <rPr>
        <b/>
        <i/>
        <vertAlign val="subscript"/>
        <sz val="14"/>
        <rFont val="Calibri"/>
      </rPr>
      <t>2</t>
    </r>
    <r>
      <rPr>
        <b/>
        <i/>
        <sz val="14"/>
        <rFont val="Calibri"/>
        <family val="2"/>
      </rPr>
      <t xml:space="preserve"> Emissions (tons) </t>
    </r>
  </si>
  <si>
    <t>1/2 Ton</t>
  </si>
  <si>
    <t>Compact Van</t>
  </si>
  <si>
    <t>2017 Chevrolet City Express 2.0L</t>
  </si>
  <si>
    <t>19499-7500= $11,999</t>
  </si>
  <si>
    <t xml:space="preserve">2018 Ford Transit Conct 2.5L </t>
  </si>
  <si>
    <t>2015 FORD Transit Conct CNG 9.2 or 14.4 gge</t>
  </si>
  <si>
    <t>3/4 Ton</t>
  </si>
  <si>
    <t>Cargo Vans</t>
  </si>
  <si>
    <t>2017 Chevrolet Express 2500 4.8L V8</t>
  </si>
  <si>
    <t xml:space="preserve">2018 Ford Transit Cargo 3.7 Ti-VCT V6 4x4 </t>
  </si>
  <si>
    <t xml:space="preserve">2017 Nissan NV2000 4.0 6cyl </t>
  </si>
  <si>
    <t>1 Ton</t>
  </si>
  <si>
    <t xml:space="preserve">2017 Chevrolet 3500 6.0L V8 </t>
  </si>
  <si>
    <t>2013 GMC 2500 CNG 3 tanks</t>
  </si>
  <si>
    <t>Trucks</t>
  </si>
  <si>
    <t>Pickups</t>
  </si>
  <si>
    <t xml:space="preserve">2018 Ford F150 3.3L V6 </t>
  </si>
  <si>
    <t>2018 Ford F150 2.7L Ecoboost V6</t>
  </si>
  <si>
    <t xml:space="preserve">2018 Ford F150 3.3L V6 4x4 </t>
  </si>
  <si>
    <t>2018 Chevrolet Colorado 2.5L</t>
  </si>
  <si>
    <t>2018 Chevrolet Colorado 2.8L Turbo Diesel</t>
  </si>
  <si>
    <t xml:space="preserve">2018 Chevrolet Silverado 1500 4.3L V6 </t>
  </si>
  <si>
    <t>2018 Chevrolet Silverado 1500 5.3L V8 4x4</t>
  </si>
  <si>
    <t>2015 Chevrolet Silverado CNG 21.2 gge tank</t>
  </si>
  <si>
    <t xml:space="preserve">2017 Ford F250 6.2L V8 </t>
  </si>
  <si>
    <t>2017 Ford F250 6.7L V8 B20/Diesel</t>
  </si>
  <si>
    <t xml:space="preserve">Ford F250 6.2L V8 CNG 12.6  to 31.6 gge tanks  </t>
  </si>
  <si>
    <t xml:space="preserve">2017 Chevrolet Silverado 2500 HD 6.0L V8 </t>
  </si>
  <si>
    <t xml:space="preserve">2017 Ford F350 6.2L 4x4 </t>
  </si>
  <si>
    <t>2013 Ford F350 4x4 CNG 12.6 to 31.6 gge tanks</t>
  </si>
  <si>
    <t>2017 Ford F350 6.7L  4x4 B20/Diesel</t>
  </si>
  <si>
    <t xml:space="preserve">2017 Chevrolet 3500 6.0L 4x4 </t>
  </si>
  <si>
    <t>2017 Chevrolet 3500 6.6L turbo 4x4 B20/Diesel</t>
  </si>
  <si>
    <r>
      <t>CO</t>
    </r>
    <r>
      <rPr>
        <b/>
        <vertAlign val="subscript"/>
        <sz val="14"/>
        <color indexed="8"/>
        <rFont val="Calibri"/>
      </rPr>
      <t>2</t>
    </r>
    <r>
      <rPr>
        <b/>
        <sz val="14"/>
        <color indexed="8"/>
        <rFont val="Calibri"/>
        <family val="2"/>
      </rPr>
      <t xml:space="preserve"> Generation Rate  lb/gal (gge)</t>
    </r>
  </si>
  <si>
    <t>(6) Current Federal Tax Credit for EV and PHEV, subject to change with new tax plan in early 2018, tax credit is also set to be phased out when companies sell more than 200,000 EV/PHEV’s</t>
  </si>
  <si>
    <t>Plug-in based on UL</t>
  </si>
  <si>
    <t>For more detail see write up</t>
  </si>
  <si>
    <r>
      <t xml:space="preserve">Fuel Type </t>
    </r>
    <r>
      <rPr>
        <b/>
        <sz val="10"/>
        <color indexed="8"/>
        <rFont val="Calibri"/>
        <family val="2"/>
        <scheme val="minor"/>
      </rPr>
      <t>(Select  from drop down list)</t>
    </r>
  </si>
  <si>
    <r>
      <rPr>
        <b/>
        <sz val="14"/>
        <color indexed="8"/>
        <rFont val="Calibri"/>
        <family val="2"/>
        <scheme val="minor"/>
      </rPr>
      <t xml:space="preserve">Fuel Cost    </t>
    </r>
    <r>
      <rPr>
        <b/>
        <sz val="10"/>
        <color indexed="8"/>
        <rFont val="Calibri"/>
        <family val="2"/>
        <scheme val="minor"/>
      </rPr>
      <t>(per gallon)</t>
    </r>
  </si>
  <si>
    <r>
      <t>CO</t>
    </r>
    <r>
      <rPr>
        <b/>
        <vertAlign val="subscript"/>
        <sz val="14"/>
        <color indexed="8"/>
        <rFont val="Calibri"/>
        <scheme val="minor"/>
      </rPr>
      <t>2</t>
    </r>
    <r>
      <rPr>
        <b/>
        <sz val="14"/>
        <color indexed="8"/>
        <rFont val="Calibri"/>
        <family val="2"/>
        <scheme val="minor"/>
      </rPr>
      <t xml:space="preserve">                   </t>
    </r>
    <r>
      <rPr>
        <b/>
        <sz val="10"/>
        <color indexed="8"/>
        <rFont val="Calibri"/>
        <family val="2"/>
        <scheme val="minor"/>
      </rPr>
      <t xml:space="preserve">(lbs per gallon)      </t>
    </r>
    <r>
      <rPr>
        <b/>
        <sz val="14"/>
        <color indexed="8"/>
        <rFont val="Calibri"/>
        <family val="2"/>
        <scheme val="minor"/>
      </rPr>
      <t>(3,4)</t>
    </r>
  </si>
  <si>
    <r>
      <t xml:space="preserve">Net MSRP (5)  </t>
    </r>
    <r>
      <rPr>
        <b/>
        <i/>
        <sz val="10"/>
        <color indexed="8"/>
        <rFont val="Calibri"/>
        <family val="2"/>
      </rPr>
      <t>(minus any grant or fed rebate)</t>
    </r>
  </si>
  <si>
    <t>Average Annual Mileage  (6)</t>
  </si>
  <si>
    <t xml:space="preserve">Average Daily Mileage (7) </t>
  </si>
  <si>
    <r>
      <t xml:space="preserve">EPA </t>
    </r>
    <r>
      <rPr>
        <b/>
        <sz val="14"/>
        <color indexed="10"/>
        <rFont val="Calibri"/>
        <family val="2"/>
      </rPr>
      <t>City</t>
    </r>
    <r>
      <rPr>
        <b/>
        <sz val="14"/>
        <color indexed="8"/>
        <rFont val="Calibri"/>
        <family val="2"/>
      </rPr>
      <t xml:space="preserve"> MPG(e)Rating (8)</t>
    </r>
  </si>
  <si>
    <t>Daily Fuel Cost</t>
  </si>
  <si>
    <r>
      <t>Estimated total CO</t>
    </r>
    <r>
      <rPr>
        <b/>
        <i/>
        <vertAlign val="subscript"/>
        <sz val="14"/>
        <rFont val="Calibri"/>
      </rPr>
      <t>2</t>
    </r>
    <r>
      <rPr>
        <b/>
        <i/>
        <sz val="14"/>
        <rFont val="Calibri"/>
        <family val="2"/>
      </rPr>
      <t xml:space="preserve"> Emissions (tons) </t>
    </r>
  </si>
  <si>
    <t>Van</t>
  </si>
  <si>
    <t xml:space="preserve">2018 Dodge Grand Caravan </t>
  </si>
  <si>
    <t>2018 Chrysler Pacifica Hybrid Touring</t>
  </si>
  <si>
    <t>Crossover</t>
  </si>
  <si>
    <t xml:space="preserve">2018 Subaru Forester AWD </t>
  </si>
  <si>
    <t>2018 Nissan Rogue Hybrid</t>
  </si>
  <si>
    <t>2018 Toyota Rav4  Hybrid</t>
  </si>
  <si>
    <t>2018 Honda CR-V</t>
  </si>
  <si>
    <t>2018 Chevy Equinox 1.5L Turbo (FWD) (AWD option)</t>
  </si>
  <si>
    <t>2018 Chevy Equinox 1.6 Turbo Diesel (FWD) (AWD option)</t>
  </si>
  <si>
    <t>2018 Chevy Tahoe</t>
  </si>
  <si>
    <t xml:space="preserve">2018 Ford Escape 3.5L EcoBoost (FWD) </t>
  </si>
  <si>
    <t>Police Vehicles</t>
  </si>
  <si>
    <r>
      <t xml:space="preserve">Fuel Type </t>
    </r>
    <r>
      <rPr>
        <b/>
        <sz val="10"/>
        <color indexed="8"/>
        <rFont val="Calibri"/>
        <family val="2"/>
        <scheme val="minor"/>
      </rPr>
      <t>(Select from drop down list)</t>
    </r>
  </si>
  <si>
    <r>
      <rPr>
        <b/>
        <sz val="14"/>
        <color indexed="8"/>
        <rFont val="Calibri"/>
        <family val="2"/>
        <scheme val="minor"/>
      </rPr>
      <t xml:space="preserve">Fuel Cost     </t>
    </r>
    <r>
      <rPr>
        <b/>
        <sz val="10"/>
        <color indexed="8"/>
        <rFont val="Calibri"/>
        <family val="2"/>
        <scheme val="minor"/>
      </rPr>
      <t>(per gallon)</t>
    </r>
  </si>
  <si>
    <r>
      <rPr>
        <b/>
        <sz val="14"/>
        <color indexed="8"/>
        <rFont val="Calibri"/>
        <family val="2"/>
        <scheme val="minor"/>
      </rPr>
      <t>CO</t>
    </r>
    <r>
      <rPr>
        <b/>
        <vertAlign val="subscript"/>
        <sz val="14"/>
        <color indexed="8"/>
        <rFont val="Calibri"/>
        <scheme val="minor"/>
      </rPr>
      <t>2</t>
    </r>
    <r>
      <rPr>
        <b/>
        <sz val="14"/>
        <color indexed="8"/>
        <rFont val="Calibri"/>
        <family val="2"/>
        <scheme val="minor"/>
      </rPr>
      <t xml:space="preserve">                 </t>
    </r>
    <r>
      <rPr>
        <b/>
        <sz val="10"/>
        <color indexed="8"/>
        <rFont val="Calibri"/>
        <family val="2"/>
        <scheme val="minor"/>
      </rPr>
      <t>(lbs per gallon)</t>
    </r>
  </si>
  <si>
    <r>
      <t xml:space="preserve">Net MSRP (10)  </t>
    </r>
    <r>
      <rPr>
        <b/>
        <i/>
        <sz val="10"/>
        <color indexed="8"/>
        <rFont val="Calibri"/>
        <family val="2"/>
      </rPr>
      <t>(minus any grant or fed rebate)</t>
    </r>
  </si>
  <si>
    <t>Average Annual Mileage  (4)</t>
  </si>
  <si>
    <t>Horsepower</t>
  </si>
  <si>
    <t>Fuel cost (5)</t>
  </si>
  <si>
    <t>Capital and Fuel Cost (6)</t>
  </si>
  <si>
    <r>
      <t>Estimated total CO</t>
    </r>
    <r>
      <rPr>
        <b/>
        <i/>
        <vertAlign val="subscript"/>
        <sz val="14"/>
        <rFont val="Calibri"/>
      </rPr>
      <t>2</t>
    </r>
    <r>
      <rPr>
        <b/>
        <i/>
        <sz val="14"/>
        <rFont val="Calibri"/>
        <family val="2"/>
      </rPr>
      <t xml:space="preserve"> Emissions (tons) (7)</t>
    </r>
  </si>
  <si>
    <t>Top Speed</t>
  </si>
  <si>
    <t>Pursuit</t>
  </si>
  <si>
    <t>2018 Ford Interceptor 3.5L V6 Flexfuel (AWD) (FWD option)</t>
  </si>
  <si>
    <t>2018 Ford Interceptor 3.5L Ecoboost (AWD) (FWD option)</t>
  </si>
  <si>
    <t>2018 Ford Interceptor 3.7L V6 (AWD) (FWD option)</t>
  </si>
  <si>
    <t>2018 Ford Utility 3.7L V6 (AWD) (RWD option)</t>
  </si>
  <si>
    <t>2018 Ford Utility 3.5L Ecoboost (AWD) (RWD option)</t>
  </si>
  <si>
    <t>2019 Ford Hybrid Responder 2.0L</t>
  </si>
  <si>
    <t>2017 Dodge Charger Pursuit 3.6L V6 (RWD) (AWD option)</t>
  </si>
  <si>
    <t>2017 Dodge Charger Pursuit 5.7L Hemi (RWD) (AWD option)</t>
  </si>
  <si>
    <t>diesel</t>
  </si>
  <si>
    <t>bicycle</t>
  </si>
  <si>
    <t>Important Information For EV and Plug-In Vehicles</t>
  </si>
  <si>
    <t>Battery Size (kWh)</t>
  </si>
  <si>
    <t>Range (MI)</t>
  </si>
  <si>
    <t>MPGe (Elec)</t>
  </si>
  <si>
    <t>MPG (Gas)</t>
  </si>
  <si>
    <t>Vehicle Charge Rate (kW)</t>
  </si>
  <si>
    <t xml:space="preserve">Charge Time (hrs at 220V) </t>
  </si>
  <si>
    <t>EV</t>
  </si>
  <si>
    <t>2017 Smart Fortwo</t>
  </si>
  <si>
    <t>-</t>
  </si>
  <si>
    <t>2018 Chevrolet Bolt</t>
  </si>
  <si>
    <t>2017 Nissan Leaf</t>
  </si>
  <si>
    <t>2018 Nissan Leaf</t>
  </si>
  <si>
    <t>2018 Ford Focus EV</t>
  </si>
  <si>
    <t>Plug-In</t>
  </si>
  <si>
    <t>2017 Chevrolet Volt</t>
  </si>
  <si>
    <t>2017 Toyota Prius Prime</t>
  </si>
  <si>
    <t>2017 Ford Fusion Energi</t>
  </si>
  <si>
    <t>2018 Chrysler Pacifica</t>
  </si>
  <si>
    <t>Input your fuel cost</t>
  </si>
  <si>
    <t>Regular Unleaded Gasoline (gal)</t>
  </si>
  <si>
    <t xml:space="preserve">Cost </t>
  </si>
  <si>
    <t>Gallons</t>
  </si>
  <si>
    <t>Year 1</t>
  </si>
  <si>
    <t>Escalation</t>
  </si>
  <si>
    <t>Year 2</t>
  </si>
  <si>
    <t>Year 3</t>
  </si>
  <si>
    <t>Year 4</t>
  </si>
  <si>
    <t>Year 5</t>
  </si>
  <si>
    <t>Year 6</t>
  </si>
  <si>
    <t>Year 7</t>
  </si>
  <si>
    <t>Year 8</t>
  </si>
  <si>
    <t>Year 9</t>
  </si>
  <si>
    <t>Year 10</t>
  </si>
  <si>
    <t>Levelized Cost of Gas</t>
  </si>
  <si>
    <t>Estimated annual change in price</t>
  </si>
  <si>
    <t>Levelized cost</t>
  </si>
  <si>
    <t>10 Year</t>
  </si>
  <si>
    <t>Levelized fuel cost - 10 year</t>
  </si>
  <si>
    <t>Enter Estimated Escalation</t>
  </si>
  <si>
    <t xml:space="preserve">2018 Subaru Impreza AWD </t>
  </si>
  <si>
    <t>Car</t>
  </si>
  <si>
    <t>Fuel type</t>
  </si>
  <si>
    <t>MPG</t>
  </si>
  <si>
    <t>* From USDOE/EPA website 10 is best in class tailpipe emissions  http://www.fueleconomy.gov/</t>
  </si>
  <si>
    <t>Emission Score*</t>
  </si>
  <si>
    <t>Fuel Types</t>
  </si>
  <si>
    <t>Input fuel cost</t>
  </si>
  <si>
    <t>Input  fuel cost</t>
  </si>
  <si>
    <t>For plug-in hybrid/electric vehicle</t>
  </si>
  <si>
    <t>Most popular cars</t>
  </si>
  <si>
    <t>2018 Volkswagen Golf</t>
  </si>
  <si>
    <t>2018 Toyota Rav4</t>
  </si>
  <si>
    <t>2018 Toyota Camry</t>
  </si>
  <si>
    <t>2018 Honda Accord</t>
  </si>
  <si>
    <t>2018 Toyota Yaris</t>
  </si>
  <si>
    <t>2018 Hyundai Tuscon</t>
  </si>
  <si>
    <t>2018 Volkswagen Tiguan</t>
  </si>
  <si>
    <t>Electric Vehicles</t>
  </si>
  <si>
    <t>2018 Hyundai Ioniq</t>
  </si>
  <si>
    <t>Soul</t>
  </si>
  <si>
    <t>hybrid</t>
  </si>
  <si>
    <t>Electric</t>
  </si>
  <si>
    <t>Hybrid</t>
  </si>
  <si>
    <t>Vehicle name</t>
  </si>
  <si>
    <t>Conventional ICE</t>
  </si>
  <si>
    <t>Plug-in Hybid</t>
  </si>
  <si>
    <t>Biodiesel</t>
  </si>
  <si>
    <t>SUV Hybrid</t>
  </si>
  <si>
    <t>MSRP-Federal Rebate</t>
  </si>
  <si>
    <t>Truck</t>
  </si>
  <si>
    <t>2018 Chevrolet Cruze</t>
  </si>
  <si>
    <t>Your Own</t>
  </si>
  <si>
    <t>Comparison to Popular Vehicles</t>
  </si>
  <si>
    <t xml:space="preserve"> Fuel Cost </t>
  </si>
  <si>
    <t>rebate</t>
  </si>
  <si>
    <t>Yes</t>
  </si>
  <si>
    <t>No</t>
  </si>
  <si>
    <t>Are you eligble for EV tax rebate?</t>
  </si>
  <si>
    <t>MSRP</t>
  </si>
  <si>
    <t>Annual Ave Cap and Fuel Cost</t>
  </si>
  <si>
    <t>2018 Ford Fusion Hybrid</t>
  </si>
  <si>
    <t>2018 Ford Fusion Energi Plug-in</t>
  </si>
  <si>
    <t>2018 Ford Fusion FWD</t>
  </si>
  <si>
    <t>Annual Fuel Cost</t>
  </si>
  <si>
    <t>2018 Toyota Prius Eco</t>
  </si>
  <si>
    <t>2018 Chevrolet Sonic</t>
  </si>
  <si>
    <t xml:space="preserve">2015 Honda Civic </t>
  </si>
  <si>
    <t>2018 Colorado 2.5L</t>
  </si>
  <si>
    <t>Number of Years in Life Cycle Projection</t>
  </si>
  <si>
    <t xml:space="preserve">LifeCycle Fuel Cost </t>
  </si>
  <si>
    <r>
      <rPr>
        <b/>
        <sz val="16"/>
        <rFont val="Calibri"/>
        <family val="2"/>
      </rPr>
      <t>Number of Years in Life Cycle Projected</t>
    </r>
  </si>
  <si>
    <t>Number of Years in Life Cycle Projected</t>
  </si>
  <si>
    <t>2015 Honda Civic CNG</t>
  </si>
  <si>
    <t>Van 1/2 Ton</t>
  </si>
  <si>
    <t>Van 3/4 Ton</t>
  </si>
  <si>
    <t>Van 1 Ton</t>
  </si>
  <si>
    <t>2018 Chevrolet City Express</t>
  </si>
  <si>
    <t>2017 Chevrolet 2500 4.8L</t>
  </si>
  <si>
    <t>2017 Chevrolet 3500 6.0L</t>
  </si>
  <si>
    <t>Crossovers and Mini-Vans</t>
  </si>
  <si>
    <t>Add your own vehicle : www. fueleconomy.gov/</t>
  </si>
  <si>
    <t xml:space="preserve">Model Fuel Cost              (Per Gallon)  </t>
  </si>
  <si>
    <t>Default for looking at vans: 6 year life cycle</t>
  </si>
  <si>
    <t>Police</t>
  </si>
  <si>
    <t>2018 Ford Utility 3.5L Ecoboost (AWD)</t>
  </si>
  <si>
    <t>Police Hybrid</t>
  </si>
  <si>
    <t>Default For Vans Mileage 3,000</t>
  </si>
  <si>
    <t>(UNH Default Prices)</t>
  </si>
  <si>
    <t xml:space="preserve">Estimated nightime charging </t>
  </si>
  <si>
    <t>Default for Police Mileage 9,000</t>
  </si>
  <si>
    <t>Category</t>
  </si>
  <si>
    <t xml:space="preserve">6 Year </t>
  </si>
  <si>
    <t>kWh rate (Nighttime)</t>
  </si>
  <si>
    <t>Customize Values in Yellow which carry over to ALL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</si>
</sst>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quot;$&quot;* #,##0.00_);_(&quot;$&quot;* \(#,##0.00\);_(&quot;$&quot;* &quot;-&quot;??_);_(@_)"/>
    <numFmt numFmtId="43" formatCode="_(* #,##0.00_);_(* \(#,##0.00\);_(* &quot;-&quot;??_);_(@_)"/>
    <numFmt numFmtId="164" formatCode="_-&quot;$&quot;* #,##0.00_-;\-&quot;$&quot;* #,##0.00_-;_-&quot;$&quot;* &quot;-&quot;??_-;_-@_-"/>
    <numFmt numFmtId="165" formatCode="_(&quot;$&quot;* #,##0_);_(&quot;$&quot;* \(#,##0\);_(&quot;$&quot;* &quot;-&quot;??_);_(@_)"/>
    <numFmt numFmtId="166" formatCode="&quot;$&quot;#,##0"/>
    <numFmt numFmtId="167" formatCode="0.0"/>
    <numFmt numFmtId="168" formatCode="_(* #,##0_);_(* \(#,##0\);_(* &quot;-&quot;??_);_(@_)"/>
    <numFmt numFmtId="169" formatCode="&quot;$&quot;#,##0.0"/>
    <numFmt numFmtId="170" formatCode="&quot;$&quot;#,##0;[Red]&quot;$&quot;#,##0"/>
    <numFmt numFmtId="171" formatCode="&quot;$&quot;#,##0.00"/>
    <numFmt numFmtId="172" formatCode="_-&quot;$&quot;* #,##0_-;\-&quot;$&quot;* #,##0_-;_-&quot;$&quot;* &quot;-&quot;??_-;_-@_-"/>
    <numFmt numFmtId="173" formatCode="_-* #,##0_-;\-* #,##0_-;_-* &quot;-&quot;??_-;_-@_-"/>
    <numFmt numFmtId="174" formatCode="0.00_ ;[Red]\-0.00\ "/>
    <numFmt numFmtId="175" formatCode="0_ ;[Red]\-0\ "/>
  </numFmts>
  <fonts count="74" x14ac:knownFonts="1">
    <font>
      <sz val="11"/>
      <color theme="1"/>
      <name val="Calibri"/>
      <family val="2"/>
      <scheme val="minor"/>
    </font>
    <font>
      <b/>
      <sz val="11"/>
      <color indexed="8"/>
      <name val="Calibri"/>
      <family val="2"/>
    </font>
    <font>
      <b/>
      <sz val="14"/>
      <color indexed="8"/>
      <name val="Calibri"/>
      <family val="2"/>
    </font>
    <font>
      <sz val="11"/>
      <color indexed="8"/>
      <name val="Calibri"/>
      <family val="2"/>
    </font>
    <font>
      <sz val="14"/>
      <color indexed="8"/>
      <name val="Calibri"/>
      <family val="2"/>
    </font>
    <font>
      <b/>
      <sz val="14"/>
      <color indexed="10"/>
      <name val="Calibri"/>
      <family val="2"/>
    </font>
    <font>
      <sz val="14"/>
      <name val="Calibri"/>
      <family val="2"/>
    </font>
    <font>
      <sz val="10"/>
      <name val="Arial"/>
      <family val="2"/>
    </font>
    <font>
      <b/>
      <sz val="14"/>
      <name val="Calibri"/>
      <family val="2"/>
    </font>
    <font>
      <sz val="11"/>
      <name val="Calibri"/>
      <family val="2"/>
    </font>
    <font>
      <b/>
      <sz val="16"/>
      <name val="Calibri"/>
      <family val="2"/>
    </font>
    <font>
      <b/>
      <sz val="11"/>
      <name val="Calibri"/>
      <family val="2"/>
    </font>
    <font>
      <b/>
      <i/>
      <sz val="10"/>
      <color indexed="8"/>
      <name val="Calibri"/>
      <family val="2"/>
    </font>
    <font>
      <b/>
      <sz val="12"/>
      <name val="Calibri"/>
      <family val="2"/>
    </font>
    <font>
      <sz val="12"/>
      <name val="Calibri"/>
      <family val="2"/>
    </font>
    <font>
      <sz val="12"/>
      <color indexed="8"/>
      <name val="Calibri"/>
      <family val="2"/>
    </font>
    <font>
      <b/>
      <i/>
      <sz val="14"/>
      <name val="Calibri"/>
      <family val="2"/>
    </font>
    <font>
      <b/>
      <sz val="11"/>
      <color indexed="8"/>
      <name val="Calibri"/>
      <family val="2"/>
    </font>
    <font>
      <i/>
      <sz val="22"/>
      <color indexed="8"/>
      <name val="Calibri"/>
      <family val="2"/>
    </font>
    <font>
      <b/>
      <i/>
      <sz val="14"/>
      <color indexed="8"/>
      <name val="Calibri"/>
      <family val="2"/>
    </font>
    <font>
      <b/>
      <i/>
      <sz val="16"/>
      <color indexed="8"/>
      <name val="Calibri"/>
      <family val="2"/>
    </font>
    <font>
      <i/>
      <sz val="14"/>
      <color indexed="8"/>
      <name val="Calibri"/>
      <family val="2"/>
    </font>
    <font>
      <b/>
      <sz val="16"/>
      <color indexed="62"/>
      <name val="Calibri"/>
      <family val="2"/>
    </font>
    <font>
      <b/>
      <sz val="16"/>
      <color indexed="8"/>
      <name val="Calibri"/>
      <family val="2"/>
    </font>
    <font>
      <b/>
      <sz val="16"/>
      <color indexed="57"/>
      <name val="Calibri"/>
      <family val="2"/>
    </font>
    <font>
      <b/>
      <i/>
      <sz val="12"/>
      <color indexed="8"/>
      <name val="Calibri"/>
      <family val="2"/>
    </font>
    <font>
      <b/>
      <i/>
      <sz val="20"/>
      <name val="Calibri"/>
      <family val="2"/>
    </font>
    <font>
      <i/>
      <sz val="20"/>
      <color indexed="8"/>
      <name val="Calibri"/>
      <family val="2"/>
    </font>
    <font>
      <b/>
      <i/>
      <sz val="20"/>
      <color indexed="10"/>
      <name val="Calibri"/>
      <family val="2"/>
    </font>
    <font>
      <i/>
      <sz val="18"/>
      <color indexed="8"/>
      <name val="Calibri"/>
      <family val="2"/>
    </font>
    <font>
      <sz val="14"/>
      <color theme="1"/>
      <name val="Calibri"/>
      <family val="2"/>
      <scheme val="minor"/>
    </font>
    <font>
      <i/>
      <sz val="18"/>
      <color theme="1"/>
      <name val="Calibri"/>
      <family val="2"/>
      <scheme val="minor"/>
    </font>
    <font>
      <b/>
      <sz val="28"/>
      <color indexed="8"/>
      <name val="Calibri"/>
      <family val="2"/>
      <scheme val="minor"/>
    </font>
    <font>
      <b/>
      <sz val="14"/>
      <color indexed="8"/>
      <name val="Calibri"/>
      <family val="2"/>
      <scheme val="minor"/>
    </font>
    <font>
      <b/>
      <sz val="10"/>
      <color indexed="8"/>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name val="Calibri"/>
      <family val="2"/>
      <scheme val="minor"/>
    </font>
    <font>
      <b/>
      <sz val="11"/>
      <name val="Calibri"/>
      <family val="2"/>
      <scheme val="minor"/>
    </font>
    <font>
      <b/>
      <sz val="14"/>
      <name val="Calibri"/>
      <family val="2"/>
      <scheme val="minor"/>
    </font>
    <font>
      <b/>
      <sz val="9"/>
      <name val="Calibri"/>
      <family val="2"/>
    </font>
    <font>
      <b/>
      <sz val="16"/>
      <color theme="1"/>
      <name val="Calibri"/>
      <family val="2"/>
      <scheme val="minor"/>
    </font>
    <font>
      <b/>
      <sz val="14"/>
      <color theme="1"/>
      <name val="Calibri"/>
      <family val="2"/>
      <scheme val="minor"/>
    </font>
    <font>
      <b/>
      <sz val="14"/>
      <color theme="1"/>
      <name val="Calibri"/>
      <family val="2"/>
    </font>
    <font>
      <sz val="14"/>
      <color theme="1"/>
      <name val="Calibri"/>
      <family val="2"/>
    </font>
    <font>
      <sz val="14"/>
      <color rgb="FF008000"/>
      <name val="Calibri"/>
    </font>
    <font>
      <b/>
      <sz val="28"/>
      <color theme="1"/>
      <name val="Calibri"/>
      <scheme val="minor"/>
    </font>
    <font>
      <sz val="12"/>
      <color theme="1"/>
      <name val="Cambria"/>
    </font>
    <font>
      <sz val="12"/>
      <color rgb="FFFF0000"/>
      <name val="Cambria"/>
    </font>
    <font>
      <vertAlign val="subscript"/>
      <sz val="12"/>
      <color theme="1"/>
      <name val="Cambria"/>
    </font>
    <font>
      <b/>
      <sz val="14"/>
      <color rgb="FF000000"/>
      <name val="Calibri"/>
      <family val="2"/>
      <scheme val="minor"/>
    </font>
    <font>
      <b/>
      <sz val="12"/>
      <color theme="1"/>
      <name val="Cambria"/>
    </font>
    <font>
      <b/>
      <vertAlign val="subscript"/>
      <sz val="14"/>
      <color indexed="8"/>
      <name val="Calibri"/>
      <scheme val="minor"/>
    </font>
    <font>
      <b/>
      <i/>
      <vertAlign val="subscript"/>
      <sz val="14"/>
      <name val="Calibri"/>
    </font>
    <font>
      <b/>
      <vertAlign val="subscript"/>
      <sz val="14"/>
      <color indexed="8"/>
      <name val="Calibri"/>
    </font>
    <font>
      <sz val="12"/>
      <name val="Cambria"/>
    </font>
    <font>
      <sz val="11"/>
      <color theme="5"/>
      <name val="Calibri"/>
      <scheme val="minor"/>
    </font>
    <font>
      <b/>
      <i/>
      <sz val="12"/>
      <color indexed="8"/>
      <name val="Calibri"/>
      <family val="2"/>
      <scheme val="minor"/>
    </font>
    <font>
      <b/>
      <sz val="12"/>
      <name val="Calibri"/>
      <family val="2"/>
      <scheme val="minor"/>
    </font>
    <font>
      <sz val="12"/>
      <name val="Calibri"/>
      <family val="2"/>
      <scheme val="minor"/>
    </font>
    <font>
      <b/>
      <i/>
      <sz val="11"/>
      <name val="Calibri"/>
      <family val="2"/>
      <scheme val="minor"/>
    </font>
    <font>
      <b/>
      <sz val="16"/>
      <name val="Calibri"/>
      <family val="2"/>
      <scheme val="minor"/>
    </font>
    <font>
      <sz val="16"/>
      <name val="Calibri"/>
    </font>
    <font>
      <sz val="18"/>
      <color theme="1"/>
      <name val="Calibri"/>
      <scheme val="minor"/>
    </font>
    <font>
      <b/>
      <sz val="11"/>
      <color rgb="FF000000"/>
      <name val="Calibri"/>
      <scheme val="minor"/>
    </font>
    <font>
      <b/>
      <sz val="18"/>
      <color indexed="8"/>
      <name val="Calibri"/>
    </font>
    <font>
      <sz val="14"/>
      <name val="Calibri"/>
      <scheme val="minor"/>
    </font>
    <font>
      <b/>
      <sz val="12"/>
      <color indexed="8"/>
      <name val="Calibri"/>
      <scheme val="minor"/>
    </font>
    <font>
      <b/>
      <sz val="12"/>
      <color indexed="8"/>
      <name val="Calibri"/>
    </font>
    <font>
      <b/>
      <sz val="14"/>
      <color rgb="FF008000"/>
      <name val="Calibri"/>
    </font>
    <font>
      <b/>
      <sz val="16"/>
      <color rgb="FF008000"/>
      <name val="Calibri"/>
    </font>
    <font>
      <sz val="18"/>
      <color theme="1"/>
      <name val="Calibri"/>
      <family val="2"/>
      <scheme val="minor"/>
    </font>
  </fonts>
  <fills count="2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42"/>
        <bgColor indexed="64"/>
      </patternFill>
    </fill>
    <fill>
      <patternFill patternType="solid">
        <fgColor indexed="22"/>
        <bgColor indexed="64"/>
      </patternFill>
    </fill>
    <fill>
      <patternFill patternType="solid">
        <fgColor indexed="27"/>
        <bgColor indexed="64"/>
      </patternFill>
    </fill>
    <fill>
      <patternFill patternType="solid">
        <fgColor indexed="55"/>
        <bgColor indexed="64"/>
      </patternFill>
    </fill>
    <fill>
      <patternFill patternType="solid">
        <fgColor theme="1"/>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C5D9F1"/>
        <bgColor rgb="FF000000"/>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FF00"/>
        <bgColor rgb="FF000000"/>
      </patternFill>
    </fill>
    <fill>
      <patternFill patternType="solid">
        <fgColor theme="0" tint="-0.249977111117893"/>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right/>
      <top/>
      <bottom style="medium">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diagonal/>
    </border>
    <border>
      <left/>
      <right style="medium">
        <color auto="1"/>
      </right>
      <top style="thin">
        <color auto="1"/>
      </top>
      <bottom/>
      <diagonal/>
    </border>
    <border>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right style="thin">
        <color auto="1"/>
      </right>
      <top/>
      <bottom/>
      <diagonal/>
    </border>
    <border>
      <left style="thin">
        <color auto="1"/>
      </left>
      <right style="medium">
        <color auto="1"/>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right/>
      <top/>
      <bottom style="thin">
        <color auto="1"/>
      </bottom>
      <diagonal/>
    </border>
    <border>
      <left/>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right/>
      <top style="medium">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style="thin">
        <color auto="1"/>
      </left>
      <right/>
      <top style="medium">
        <color auto="1"/>
      </top>
      <bottom/>
      <diagonal/>
    </border>
    <border>
      <left style="medium">
        <color auto="1"/>
      </left>
      <right/>
      <top/>
      <bottom style="thin">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s>
  <cellStyleXfs count="177">
    <xf numFmtId="0" fontId="0" fillId="0" borderId="0"/>
    <xf numFmtId="43" fontId="3" fillId="0" borderId="0" applyFont="0" applyFill="0" applyBorder="0" applyAlignment="0" applyProtection="0"/>
    <xf numFmtId="44" fontId="3" fillId="0" borderId="0" applyFont="0" applyFill="0" applyBorder="0" applyAlignment="0" applyProtection="0"/>
    <xf numFmtId="0" fontId="7" fillId="0" borderId="0"/>
    <xf numFmtId="9" fontId="3"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1111">
    <xf numFmtId="0" fontId="0" fillId="0" borderId="0" xfId="0"/>
    <xf numFmtId="0" fontId="0" fillId="2" borderId="0" xfId="0" applyFill="1"/>
    <xf numFmtId="165" fontId="4" fillId="0" borderId="0" xfId="2" applyNumberFormat="1" applyFont="1" applyBorder="1"/>
    <xf numFmtId="0" fontId="0" fillId="0" borderId="0" xfId="0" applyBorder="1" applyAlignment="1">
      <alignment wrapText="1"/>
    </xf>
    <xf numFmtId="0" fontId="0" fillId="0" borderId="0" xfId="0" applyBorder="1"/>
    <xf numFmtId="0" fontId="0" fillId="3" borderId="0" xfId="0" applyFill="1"/>
    <xf numFmtId="0" fontId="4" fillId="2" borderId="1" xfId="0" applyFont="1" applyFill="1" applyBorder="1" applyAlignment="1">
      <alignment horizontal="center"/>
    </xf>
    <xf numFmtId="169" fontId="0" fillId="0" borderId="0" xfId="0" applyNumberFormat="1"/>
    <xf numFmtId="0" fontId="10" fillId="0" borderId="0" xfId="0" applyFont="1"/>
    <xf numFmtId="0" fontId="11" fillId="0" borderId="0" xfId="0" applyFont="1"/>
    <xf numFmtId="0" fontId="9" fillId="0" borderId="0" xfId="0" applyFont="1"/>
    <xf numFmtId="0" fontId="9" fillId="0" borderId="0" xfId="0" applyFont="1" applyBorder="1"/>
    <xf numFmtId="0" fontId="0" fillId="3" borderId="0" xfId="0" applyFill="1" applyBorder="1"/>
    <xf numFmtId="44" fontId="13" fillId="0" borderId="0" xfId="2" applyFont="1"/>
    <xf numFmtId="0" fontId="0" fillId="0" borderId="6" xfId="0" applyBorder="1" applyAlignment="1"/>
    <xf numFmtId="0" fontId="0" fillId="3" borderId="7" xfId="0" applyFill="1" applyBorder="1" applyAlignment="1"/>
    <xf numFmtId="0" fontId="0" fillId="0" borderId="7" xfId="0" applyBorder="1"/>
    <xf numFmtId="0" fontId="0" fillId="0" borderId="0" xfId="0" applyAlignment="1">
      <alignment horizontal="left"/>
    </xf>
    <xf numFmtId="0" fontId="0" fillId="2" borderId="0" xfId="0" applyFill="1" applyAlignment="1">
      <alignment horizontal="left"/>
    </xf>
    <xf numFmtId="0" fontId="1" fillId="2" borderId="0" xfId="0" applyFont="1" applyFill="1" applyAlignment="1">
      <alignment horizontal="left"/>
    </xf>
    <xf numFmtId="0" fontId="0" fillId="2" borderId="0" xfId="0" applyFill="1" applyAlignment="1">
      <alignment horizontal="center"/>
    </xf>
    <xf numFmtId="0" fontId="0" fillId="0" borderId="0" xfId="0" applyAlignment="1">
      <alignment horizontal="center"/>
    </xf>
    <xf numFmtId="0" fontId="1" fillId="2" borderId="0" xfId="0" applyFont="1" applyFill="1" applyAlignment="1">
      <alignment horizontal="center"/>
    </xf>
    <xf numFmtId="0" fontId="9" fillId="0" borderId="0" xfId="0" applyFont="1" applyBorder="1" applyAlignment="1">
      <alignment horizontal="center"/>
    </xf>
    <xf numFmtId="0" fontId="0" fillId="0" borderId="0" xfId="0" applyBorder="1" applyAlignment="1">
      <alignment horizontal="center"/>
    </xf>
    <xf numFmtId="0" fontId="4" fillId="2" borderId="3" xfId="0" applyFont="1" applyFill="1" applyBorder="1" applyAlignment="1">
      <alignment horizontal="center"/>
    </xf>
    <xf numFmtId="0" fontId="4" fillId="2" borderId="2" xfId="0" applyFont="1" applyFill="1" applyBorder="1" applyAlignment="1">
      <alignment horizontal="center"/>
    </xf>
    <xf numFmtId="0" fontId="9" fillId="2" borderId="0" xfId="0" applyFont="1" applyFill="1" applyBorder="1" applyAlignment="1">
      <alignment horizontal="center"/>
    </xf>
    <xf numFmtId="0" fontId="0" fillId="0" borderId="0" xfId="0" applyBorder="1" applyAlignment="1"/>
    <xf numFmtId="165" fontId="4" fillId="7" borderId="18" xfId="2" applyNumberFormat="1" applyFont="1" applyFill="1" applyBorder="1"/>
    <xf numFmtId="165" fontId="4" fillId="7" borderId="19" xfId="2" applyNumberFormat="1" applyFont="1" applyFill="1" applyBorder="1"/>
    <xf numFmtId="165" fontId="4" fillId="0" borderId="20" xfId="2" applyNumberFormat="1" applyFont="1" applyBorder="1" applyAlignment="1"/>
    <xf numFmtId="165" fontId="4" fillId="0" borderId="18" xfId="2" applyNumberFormat="1" applyFont="1" applyBorder="1" applyAlignment="1"/>
    <xf numFmtId="165" fontId="4" fillId="8" borderId="18" xfId="2" applyNumberFormat="1" applyFont="1" applyFill="1" applyBorder="1" applyAlignment="1"/>
    <xf numFmtId="165" fontId="4" fillId="0" borderId="18" xfId="2" applyNumberFormat="1" applyFont="1" applyBorder="1"/>
    <xf numFmtId="165" fontId="4" fillId="2" borderId="17" xfId="2" applyNumberFormat="1" applyFont="1" applyFill="1" applyBorder="1"/>
    <xf numFmtId="165" fontId="4" fillId="0" borderId="20" xfId="2" applyNumberFormat="1" applyFont="1" applyBorder="1"/>
    <xf numFmtId="165" fontId="4" fillId="6" borderId="18" xfId="2" applyNumberFormat="1" applyFont="1" applyFill="1" applyBorder="1"/>
    <xf numFmtId="165" fontId="4" fillId="0" borderId="17" xfId="2" applyNumberFormat="1" applyFont="1" applyBorder="1"/>
    <xf numFmtId="165" fontId="4" fillId="2" borderId="16" xfId="2" applyNumberFormat="1" applyFont="1" applyFill="1" applyBorder="1"/>
    <xf numFmtId="165" fontId="4" fillId="2" borderId="18" xfId="2" applyNumberFormat="1" applyFont="1" applyFill="1" applyBorder="1"/>
    <xf numFmtId="165" fontId="4" fillId="4" borderId="18" xfId="2" applyNumberFormat="1" applyFont="1" applyFill="1" applyBorder="1"/>
    <xf numFmtId="165" fontId="6" fillId="2" borderId="18" xfId="2" applyNumberFormat="1" applyFont="1" applyFill="1" applyBorder="1" applyAlignment="1"/>
    <xf numFmtId="165" fontId="6" fillId="2" borderId="19" xfId="2" applyNumberFormat="1" applyFont="1" applyFill="1" applyBorder="1" applyAlignment="1"/>
    <xf numFmtId="0" fontId="4" fillId="2" borderId="23" xfId="0" applyFont="1" applyFill="1" applyBorder="1" applyAlignment="1">
      <alignment horizontal="center"/>
    </xf>
    <xf numFmtId="0" fontId="6" fillId="2" borderId="23" xfId="2" applyNumberFormat="1" applyFont="1" applyFill="1" applyBorder="1" applyAlignment="1">
      <alignment horizontal="center"/>
    </xf>
    <xf numFmtId="0" fontId="4" fillId="2" borderId="23" xfId="2" quotePrefix="1" applyNumberFormat="1" applyFont="1" applyFill="1" applyBorder="1" applyAlignment="1">
      <alignment horizontal="center"/>
    </xf>
    <xf numFmtId="0" fontId="4" fillId="2" borderId="23" xfId="2" applyNumberFormat="1" applyFont="1" applyFill="1" applyBorder="1" applyAlignment="1">
      <alignment horizontal="center"/>
    </xf>
    <xf numFmtId="165" fontId="4" fillId="2" borderId="23" xfId="2" applyNumberFormat="1" applyFont="1" applyFill="1" applyBorder="1" applyAlignment="1">
      <alignment horizontal="center"/>
    </xf>
    <xf numFmtId="0" fontId="17" fillId="0" borderId="0" xfId="0" applyFont="1"/>
    <xf numFmtId="0" fontId="11" fillId="0" borderId="0" xfId="0" applyFont="1" applyAlignment="1">
      <alignment horizontal="center"/>
    </xf>
    <xf numFmtId="0" fontId="4" fillId="6" borderId="1" xfId="0" applyFont="1" applyFill="1" applyBorder="1" applyAlignment="1">
      <alignment horizontal="center"/>
    </xf>
    <xf numFmtId="0" fontId="4" fillId="7" borderId="1" xfId="0" applyFont="1" applyFill="1" applyBorder="1" applyAlignment="1">
      <alignment horizontal="center"/>
    </xf>
    <xf numFmtId="0" fontId="4" fillId="7" borderId="15" xfId="0" applyFont="1" applyFill="1" applyBorder="1" applyAlignment="1">
      <alignment horizontal="center"/>
    </xf>
    <xf numFmtId="0" fontId="4" fillId="0" borderId="13" xfId="0" applyFont="1" applyBorder="1" applyAlignment="1">
      <alignment horizontal="center"/>
    </xf>
    <xf numFmtId="0" fontId="4" fillId="0" borderId="1" xfId="0" applyFont="1" applyBorder="1" applyAlignment="1">
      <alignment horizontal="center"/>
    </xf>
    <xf numFmtId="0" fontId="4" fillId="8" borderId="1" xfId="0" applyFont="1" applyFill="1" applyBorder="1" applyAlignment="1">
      <alignment horizontal="center"/>
    </xf>
    <xf numFmtId="0" fontId="4" fillId="0" borderId="2" xfId="0" applyFont="1" applyBorder="1" applyAlignment="1">
      <alignment horizontal="center"/>
    </xf>
    <xf numFmtId="0" fontId="6" fillId="2" borderId="1" xfId="0" applyFont="1" applyFill="1" applyBorder="1" applyAlignment="1">
      <alignment horizontal="center"/>
    </xf>
    <xf numFmtId="0" fontId="6" fillId="2" borderId="15" xfId="0" applyFont="1" applyFill="1" applyBorder="1" applyAlignment="1">
      <alignment horizontal="center"/>
    </xf>
    <xf numFmtId="0" fontId="0" fillId="2" borderId="0" xfId="0" applyFill="1" applyBorder="1" applyAlignment="1">
      <alignment horizontal="center"/>
    </xf>
    <xf numFmtId="0" fontId="9" fillId="2" borderId="0" xfId="0" applyFont="1" applyFill="1"/>
    <xf numFmtId="0" fontId="27" fillId="0" borderId="48" xfId="0" applyFont="1" applyBorder="1" applyAlignment="1">
      <alignment horizontal="center"/>
    </xf>
    <xf numFmtId="0" fontId="28" fillId="0" borderId="49" xfId="0" applyFont="1" applyBorder="1" applyAlignment="1">
      <alignment horizontal="center"/>
    </xf>
    <xf numFmtId="14" fontId="4" fillId="0" borderId="0" xfId="0" applyNumberFormat="1" applyFont="1"/>
    <xf numFmtId="0" fontId="4" fillId="0" borderId="0" xfId="0" applyFont="1"/>
    <xf numFmtId="0" fontId="1" fillId="0" borderId="0" xfId="0" applyFont="1" applyBorder="1"/>
    <xf numFmtId="0" fontId="1" fillId="0" borderId="0" xfId="0" applyFont="1"/>
    <xf numFmtId="0" fontId="15" fillId="0" borderId="0" xfId="0" applyFont="1" applyAlignment="1">
      <alignment horizontal="left"/>
    </xf>
    <xf numFmtId="0" fontId="1" fillId="0" borderId="0" xfId="0" applyFont="1" applyAlignment="1">
      <alignment horizontal="center"/>
    </xf>
    <xf numFmtId="0" fontId="0" fillId="4" borderId="34" xfId="0" applyFill="1" applyBorder="1" applyAlignment="1">
      <alignment horizontal="center" wrapText="1"/>
    </xf>
    <xf numFmtId="0" fontId="0" fillId="4" borderId="43" xfId="0" applyFill="1" applyBorder="1" applyAlignment="1">
      <alignment horizontal="center" wrapText="1"/>
    </xf>
    <xf numFmtId="0" fontId="0" fillId="4" borderId="44" xfId="0" applyFill="1" applyBorder="1" applyAlignment="1">
      <alignment horizontal="center" wrapText="1"/>
    </xf>
    <xf numFmtId="0" fontId="0" fillId="4" borderId="36" xfId="0" applyFill="1" applyBorder="1" applyAlignment="1">
      <alignment horizontal="center" wrapText="1"/>
    </xf>
    <xf numFmtId="0" fontId="0" fillId="4" borderId="45" xfId="0" applyFill="1" applyBorder="1" applyAlignment="1">
      <alignment horizontal="center" wrapText="1"/>
    </xf>
    <xf numFmtId="0" fontId="0" fillId="4" borderId="11" xfId="0" applyFill="1" applyBorder="1" applyAlignment="1">
      <alignment horizontal="center" wrapText="1"/>
    </xf>
    <xf numFmtId="0" fontId="0" fillId="4" borderId="32" xfId="0" applyFill="1" applyBorder="1" applyAlignment="1"/>
    <xf numFmtId="0" fontId="0" fillId="4" borderId="10" xfId="0" applyFill="1" applyBorder="1" applyAlignment="1">
      <alignment horizontal="center"/>
    </xf>
    <xf numFmtId="0" fontId="6" fillId="2" borderId="0" xfId="0" applyFont="1" applyFill="1" applyBorder="1" applyAlignment="1">
      <alignment horizontal="center"/>
    </xf>
    <xf numFmtId="0" fontId="6" fillId="2" borderId="0" xfId="2" applyNumberFormat="1" applyFont="1" applyFill="1" applyBorder="1" applyAlignment="1">
      <alignment horizontal="center"/>
    </xf>
    <xf numFmtId="166" fontId="4" fillId="2" borderId="0" xfId="0" applyNumberFormat="1" applyFont="1" applyFill="1" applyBorder="1"/>
    <xf numFmtId="9" fontId="6" fillId="2" borderId="0" xfId="4" applyFont="1" applyFill="1" applyBorder="1" applyAlignment="1">
      <alignment horizontal="center"/>
    </xf>
    <xf numFmtId="0" fontId="30" fillId="0" borderId="0" xfId="0" applyFont="1" applyBorder="1"/>
    <xf numFmtId="0" fontId="0" fillId="3" borderId="0" xfId="0" applyFill="1" applyBorder="1" applyAlignment="1"/>
    <xf numFmtId="0" fontId="6" fillId="10" borderId="0" xfId="2" applyNumberFormat="1" applyFont="1" applyFill="1" applyBorder="1" applyAlignment="1">
      <alignment horizontal="center"/>
    </xf>
    <xf numFmtId="0" fontId="0" fillId="4" borderId="39" xfId="0" applyFill="1" applyBorder="1" applyAlignment="1">
      <alignment horizontal="center"/>
    </xf>
    <xf numFmtId="0" fontId="6" fillId="0" borderId="1" xfId="0" applyFont="1" applyFill="1" applyBorder="1" applyAlignment="1" applyProtection="1">
      <alignment horizontal="left"/>
      <protection locked="0"/>
    </xf>
    <xf numFmtId="0" fontId="6" fillId="2" borderId="22" xfId="0" applyFont="1" applyFill="1" applyBorder="1" applyAlignment="1" applyProtection="1">
      <alignment horizontal="left"/>
      <protection locked="0"/>
    </xf>
    <xf numFmtId="0" fontId="6" fillId="0" borderId="22" xfId="0" applyFont="1" applyBorder="1" applyAlignment="1" applyProtection="1">
      <alignment horizontal="left"/>
      <protection locked="0"/>
    </xf>
    <xf numFmtId="0" fontId="6" fillId="0" borderId="22" xfId="0" applyFont="1" applyFill="1" applyBorder="1" applyAlignment="1" applyProtection="1">
      <alignment horizontal="left"/>
      <protection locked="0"/>
    </xf>
    <xf numFmtId="0" fontId="8" fillId="13" borderId="9" xfId="0" applyFont="1" applyFill="1" applyBorder="1" applyAlignment="1" applyProtection="1">
      <alignment horizontal="left"/>
      <protection locked="0"/>
    </xf>
    <xf numFmtId="0" fontId="0" fillId="0" borderId="22" xfId="0" applyBorder="1" applyAlignment="1"/>
    <xf numFmtId="0" fontId="0" fillId="0" borderId="23" xfId="0" applyBorder="1" applyAlignment="1"/>
    <xf numFmtId="0" fontId="0" fillId="0" borderId="37" xfId="0" applyBorder="1" applyAlignment="1"/>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4" fillId="2" borderId="0" xfId="0" applyFont="1" applyFill="1" applyBorder="1" applyAlignment="1">
      <alignment horizontal="center" vertical="center" wrapText="1"/>
    </xf>
    <xf numFmtId="0" fontId="0" fillId="0" borderId="0" xfId="0" applyFont="1" applyBorder="1"/>
    <xf numFmtId="0" fontId="0" fillId="0" borderId="0" xfId="0" applyFont="1"/>
    <xf numFmtId="168" fontId="10" fillId="3" borderId="0" xfId="1" applyNumberFormat="1" applyFont="1" applyFill="1" applyBorder="1" applyAlignment="1" applyProtection="1">
      <alignment horizontal="center"/>
      <protection locked="0"/>
    </xf>
    <xf numFmtId="168" fontId="1" fillId="3" borderId="0" xfId="1" applyNumberFormat="1" applyFont="1" applyFill="1" applyBorder="1" applyAlignment="1" applyProtection="1">
      <alignment horizontal="center"/>
      <protection locked="0"/>
    </xf>
    <xf numFmtId="0" fontId="0" fillId="0" borderId="1" xfId="0" applyBorder="1"/>
    <xf numFmtId="0" fontId="0" fillId="10" borderId="0" xfId="0" applyFill="1"/>
    <xf numFmtId="0" fontId="0" fillId="10" borderId="0" xfId="0" applyFill="1" applyAlignment="1">
      <alignment horizontal="center"/>
    </xf>
    <xf numFmtId="0" fontId="0" fillId="10" borderId="0" xfId="0" applyFill="1" applyBorder="1"/>
    <xf numFmtId="0" fontId="0" fillId="9" borderId="1" xfId="0" applyFill="1" applyBorder="1"/>
    <xf numFmtId="0" fontId="0" fillId="0" borderId="1" xfId="0" applyBorder="1" applyAlignment="1">
      <alignment horizontal="center"/>
    </xf>
    <xf numFmtId="0" fontId="0" fillId="9" borderId="1" xfId="0" applyFill="1" applyBorder="1" applyAlignment="1">
      <alignment horizontal="center"/>
    </xf>
    <xf numFmtId="0" fontId="0" fillId="0" borderId="0" xfId="0" applyAlignment="1">
      <alignment horizontal="center"/>
    </xf>
    <xf numFmtId="0" fontId="0" fillId="0" borderId="9" xfId="0" applyBorder="1" applyAlignment="1"/>
    <xf numFmtId="0" fontId="4" fillId="6" borderId="3" xfId="0" applyFont="1" applyFill="1" applyBorder="1" applyAlignment="1">
      <alignment horizontal="center"/>
    </xf>
    <xf numFmtId="0" fontId="4" fillId="6" borderId="16" xfId="0" applyFont="1" applyFill="1" applyBorder="1"/>
    <xf numFmtId="0" fontId="4" fillId="2" borderId="22" xfId="0" applyFont="1" applyFill="1" applyBorder="1" applyAlignment="1">
      <alignment horizontal="center"/>
    </xf>
    <xf numFmtId="0" fontId="0" fillId="10" borderId="0" xfId="0" applyFill="1" applyBorder="1" applyAlignment="1"/>
    <xf numFmtId="0" fontId="4" fillId="10" borderId="0" xfId="0" applyFont="1" applyFill="1" applyBorder="1" applyAlignment="1">
      <alignment horizontal="center"/>
    </xf>
    <xf numFmtId="3" fontId="4" fillId="10" borderId="0" xfId="0" applyNumberFormat="1" applyFont="1" applyFill="1" applyBorder="1"/>
    <xf numFmtId="0" fontId="4" fillId="10" borderId="0" xfId="0" applyNumberFormat="1" applyFont="1" applyFill="1" applyBorder="1" applyAlignment="1">
      <alignment horizontal="center"/>
    </xf>
    <xf numFmtId="0" fontId="6" fillId="10" borderId="0" xfId="0" applyFont="1" applyFill="1" applyBorder="1" applyAlignment="1">
      <alignment horizontal="center"/>
    </xf>
    <xf numFmtId="165" fontId="6" fillId="10" borderId="0" xfId="2" applyNumberFormat="1" applyFont="1" applyFill="1" applyBorder="1" applyAlignment="1"/>
    <xf numFmtId="0" fontId="8" fillId="2" borderId="1" xfId="0" applyFont="1" applyFill="1" applyBorder="1" applyAlignment="1" applyProtection="1">
      <alignment horizontal="left"/>
      <protection locked="0"/>
    </xf>
    <xf numFmtId="0" fontId="8" fillId="2" borderId="1" xfId="2" applyNumberFormat="1"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0" fontId="0" fillId="0" borderId="0" xfId="0" applyAlignment="1">
      <alignment horizontal="center"/>
    </xf>
    <xf numFmtId="0" fontId="4" fillId="6" borderId="16" xfId="0" applyFont="1" applyFill="1" applyBorder="1" applyAlignment="1">
      <alignment horizontal="center"/>
    </xf>
    <xf numFmtId="0" fontId="4" fillId="7" borderId="18" xfId="0" applyFont="1" applyFill="1" applyBorder="1" applyAlignment="1">
      <alignment horizontal="center"/>
    </xf>
    <xf numFmtId="0" fontId="4" fillId="7" borderId="19" xfId="0" applyFont="1" applyFill="1" applyBorder="1" applyAlignment="1">
      <alignment horizontal="center"/>
    </xf>
    <xf numFmtId="0" fontId="4" fillId="0" borderId="20" xfId="0" applyFont="1" applyBorder="1" applyAlignment="1">
      <alignment horizontal="center"/>
    </xf>
    <xf numFmtId="0" fontId="4" fillId="0" borderId="18" xfId="0" applyFont="1" applyBorder="1" applyAlignment="1">
      <alignment horizontal="center"/>
    </xf>
    <xf numFmtId="0" fontId="4" fillId="8" borderId="18" xfId="0" applyFont="1" applyFill="1" applyBorder="1" applyAlignment="1">
      <alignment horizontal="center"/>
    </xf>
    <xf numFmtId="0" fontId="4" fillId="2" borderId="17" xfId="0" applyFont="1" applyFill="1" applyBorder="1" applyAlignment="1">
      <alignment horizontal="center"/>
    </xf>
    <xf numFmtId="0" fontId="4" fillId="6" borderId="18" xfId="0" applyFont="1" applyFill="1" applyBorder="1" applyAlignment="1">
      <alignment horizontal="center"/>
    </xf>
    <xf numFmtId="0" fontId="4" fillId="0" borderId="17" xfId="0" applyFont="1" applyBorder="1" applyAlignment="1">
      <alignment horizontal="center"/>
    </xf>
    <xf numFmtId="0" fontId="4" fillId="2" borderId="16" xfId="0" applyFont="1" applyFill="1" applyBorder="1" applyAlignment="1">
      <alignment horizontal="center"/>
    </xf>
    <xf numFmtId="0" fontId="4" fillId="2" borderId="18" xfId="0" applyFont="1" applyFill="1" applyBorder="1" applyAlignment="1">
      <alignment horizontal="center"/>
    </xf>
    <xf numFmtId="0" fontId="6" fillId="2" borderId="18" xfId="0" applyFont="1" applyFill="1" applyBorder="1" applyAlignment="1">
      <alignment horizontal="center"/>
    </xf>
    <xf numFmtId="0" fontId="6" fillId="2" borderId="19" xfId="0" applyFont="1" applyFill="1" applyBorder="1" applyAlignment="1">
      <alignment horizontal="center"/>
    </xf>
    <xf numFmtId="0" fontId="2" fillId="15" borderId="19" xfId="0" applyFont="1" applyFill="1" applyBorder="1"/>
    <xf numFmtId="170" fontId="4" fillId="16" borderId="3" xfId="2" applyNumberFormat="1" applyFont="1" applyFill="1" applyBorder="1" applyAlignment="1">
      <alignment horizontal="center"/>
    </xf>
    <xf numFmtId="170" fontId="2" fillId="16" borderId="3" xfId="2" applyNumberFormat="1" applyFont="1" applyFill="1" applyBorder="1" applyAlignment="1">
      <alignment horizontal="center"/>
    </xf>
    <xf numFmtId="170" fontId="4" fillId="16" borderId="13" xfId="2" applyNumberFormat="1" applyFont="1" applyFill="1" applyBorder="1" applyAlignment="1">
      <alignment horizontal="center"/>
    </xf>
    <xf numFmtId="170" fontId="2" fillId="16" borderId="1" xfId="2" applyNumberFormat="1" applyFont="1" applyFill="1" applyBorder="1" applyAlignment="1">
      <alignment horizontal="center"/>
    </xf>
    <xf numFmtId="170" fontId="4" fillId="16" borderId="1" xfId="2" applyNumberFormat="1" applyFont="1" applyFill="1" applyBorder="1" applyAlignment="1">
      <alignment horizontal="center"/>
    </xf>
    <xf numFmtId="170" fontId="4" fillId="16" borderId="36" xfId="2" applyNumberFormat="1" applyFont="1" applyFill="1" applyBorder="1" applyAlignment="1">
      <alignment horizontal="center"/>
    </xf>
    <xf numFmtId="0" fontId="8" fillId="0" borderId="1" xfId="0" applyFont="1" applyFill="1" applyBorder="1" applyAlignment="1" applyProtection="1">
      <alignment horizontal="left"/>
      <protection locked="0"/>
    </xf>
    <xf numFmtId="1" fontId="8" fillId="5" borderId="1" xfId="2" applyNumberFormat="1" applyFont="1" applyFill="1" applyBorder="1" applyAlignment="1">
      <alignment horizontal="center"/>
    </xf>
    <xf numFmtId="0" fontId="8" fillId="10" borderId="2" xfId="0" applyFont="1" applyFill="1" applyBorder="1" applyAlignment="1" applyProtection="1">
      <alignment horizontal="left"/>
      <protection locked="0"/>
    </xf>
    <xf numFmtId="0" fontId="8" fillId="4" borderId="43" xfId="0" applyFont="1" applyFill="1" applyBorder="1" applyAlignment="1" applyProtection="1">
      <alignment horizontal="left"/>
      <protection locked="0"/>
    </xf>
    <xf numFmtId="0" fontId="8" fillId="4" borderId="44" xfId="0" applyFont="1" applyFill="1" applyBorder="1" applyAlignment="1" applyProtection="1">
      <alignment horizontal="left"/>
      <protection locked="0"/>
    </xf>
    <xf numFmtId="0" fontId="8" fillId="4" borderId="36" xfId="2" applyNumberFormat="1" applyFont="1" applyFill="1" applyBorder="1" applyAlignment="1" applyProtection="1">
      <alignment horizontal="center"/>
      <protection locked="0"/>
    </xf>
    <xf numFmtId="0" fontId="8" fillId="4" borderId="44" xfId="0" applyFont="1" applyFill="1" applyBorder="1" applyAlignment="1" applyProtection="1">
      <alignment horizontal="center"/>
      <protection locked="0"/>
    </xf>
    <xf numFmtId="0" fontId="8" fillId="10" borderId="1" xfId="0" applyFont="1" applyFill="1" applyBorder="1" applyAlignment="1" applyProtection="1">
      <alignment horizontal="left"/>
      <protection locked="0"/>
    </xf>
    <xf numFmtId="1" fontId="16" fillId="5" borderId="26" xfId="2" applyNumberFormat="1" applyFont="1" applyFill="1" applyBorder="1" applyAlignment="1">
      <alignment horizontal="center"/>
    </xf>
    <xf numFmtId="0" fontId="8" fillId="10" borderId="1" xfId="2" applyNumberFormat="1" applyFont="1" applyFill="1" applyBorder="1" applyAlignment="1" applyProtection="1">
      <alignment horizontal="center"/>
      <protection locked="0"/>
    </xf>
    <xf numFmtId="0" fontId="8" fillId="10" borderId="1" xfId="0" applyFont="1" applyFill="1" applyBorder="1" applyAlignment="1" applyProtection="1">
      <alignment horizontal="center"/>
      <protection locked="0"/>
    </xf>
    <xf numFmtId="1" fontId="8" fillId="2" borderId="1" xfId="2" applyNumberFormat="1" applyFont="1" applyFill="1" applyBorder="1" applyAlignment="1" applyProtection="1">
      <alignment horizontal="center"/>
      <protection locked="0"/>
    </xf>
    <xf numFmtId="1" fontId="8" fillId="2" borderId="1" xfId="0" applyNumberFormat="1" applyFont="1" applyFill="1" applyBorder="1" applyAlignment="1" applyProtection="1">
      <alignment horizontal="center"/>
      <protection locked="0"/>
    </xf>
    <xf numFmtId="0" fontId="8" fillId="2" borderId="3" xfId="0" applyFont="1" applyFill="1" applyBorder="1" applyAlignment="1" applyProtection="1">
      <alignment horizontal="left"/>
      <protection locked="0"/>
    </xf>
    <xf numFmtId="1" fontId="16" fillId="5" borderId="29" xfId="2" applyNumberFormat="1" applyFont="1" applyFill="1" applyBorder="1" applyAlignment="1">
      <alignment horizontal="center"/>
    </xf>
    <xf numFmtId="1" fontId="16" fillId="4" borderId="45" xfId="2" applyNumberFormat="1" applyFont="1" applyFill="1" applyBorder="1" applyAlignment="1">
      <alignment horizontal="center"/>
    </xf>
    <xf numFmtId="0" fontId="8" fillId="2" borderId="22" xfId="0" applyFont="1" applyFill="1" applyBorder="1" applyAlignment="1" applyProtection="1">
      <alignment horizontal="left"/>
      <protection locked="0"/>
    </xf>
    <xf numFmtId="0" fontId="8" fillId="2" borderId="23" xfId="0" applyFont="1" applyFill="1" applyBorder="1" applyAlignment="1" applyProtection="1">
      <alignment horizontal="left"/>
      <protection locked="0"/>
    </xf>
    <xf numFmtId="0" fontId="8" fillId="10" borderId="23" xfId="0" applyFont="1" applyFill="1" applyBorder="1" applyAlignment="1" applyProtection="1">
      <alignment horizontal="left"/>
      <protection locked="0"/>
    </xf>
    <xf numFmtId="0" fontId="2" fillId="9" borderId="44" xfId="0" applyFont="1" applyFill="1" applyBorder="1" applyAlignment="1">
      <alignment horizontal="center" wrapText="1"/>
    </xf>
    <xf numFmtId="0" fontId="23" fillId="9" borderId="37" xfId="0" applyFont="1" applyFill="1" applyBorder="1" applyAlignment="1">
      <alignment horizontal="center" wrapText="1"/>
    </xf>
    <xf numFmtId="0" fontId="0" fillId="16" borderId="34" xfId="0" applyFill="1" applyBorder="1" applyAlignment="1"/>
    <xf numFmtId="0" fontId="0" fillId="16" borderId="33" xfId="0" applyFill="1" applyBorder="1" applyAlignment="1"/>
    <xf numFmtId="0" fontId="2" fillId="16" borderId="43" xfId="0" applyFont="1" applyFill="1" applyBorder="1" applyAlignment="1">
      <alignment horizontal="center" wrapText="1"/>
    </xf>
    <xf numFmtId="0" fontId="2" fillId="16" borderId="36" xfId="0" applyFont="1" applyFill="1" applyBorder="1" applyAlignment="1">
      <alignment horizontal="center" wrapText="1"/>
    </xf>
    <xf numFmtId="0" fontId="2" fillId="16" borderId="45" xfId="0" applyFont="1" applyFill="1" applyBorder="1" applyAlignment="1">
      <alignment horizontal="center" wrapText="1"/>
    </xf>
    <xf numFmtId="0" fontId="2" fillId="16" borderId="46" xfId="0" applyFont="1" applyFill="1" applyBorder="1" applyAlignment="1">
      <alignment horizontal="center" wrapText="1"/>
    </xf>
    <xf numFmtId="0" fontId="22" fillId="16" borderId="5" xfId="0" applyFont="1" applyFill="1" applyBorder="1" applyAlignment="1">
      <alignment horizontal="center" wrapText="1"/>
    </xf>
    <xf numFmtId="0" fontId="24" fillId="16" borderId="15" xfId="0" applyFont="1" applyFill="1" applyBorder="1" applyAlignment="1">
      <alignment horizontal="center" wrapText="1"/>
    </xf>
    <xf numFmtId="0" fontId="24" fillId="16" borderId="36" xfId="0" applyFont="1" applyFill="1" applyBorder="1" applyAlignment="1">
      <alignment horizontal="center" wrapText="1"/>
    </xf>
    <xf numFmtId="0" fontId="24" fillId="16" borderId="35" xfId="0" applyFont="1" applyFill="1" applyBorder="1" applyAlignment="1">
      <alignment horizontal="center" wrapText="1"/>
    </xf>
    <xf numFmtId="0" fontId="24" fillId="16" borderId="38" xfId="0" applyFont="1" applyFill="1" applyBorder="1" applyAlignment="1">
      <alignment horizontal="center" wrapText="1"/>
    </xf>
    <xf numFmtId="166" fontId="4" fillId="16" borderId="36" xfId="0" applyNumberFormat="1" applyFont="1" applyFill="1" applyBorder="1"/>
    <xf numFmtId="9" fontId="4" fillId="16" borderId="35" xfId="4" applyFont="1" applyFill="1" applyBorder="1" applyAlignment="1">
      <alignment horizontal="center"/>
    </xf>
    <xf numFmtId="166" fontId="4" fillId="16" borderId="0" xfId="0" applyNumberFormat="1" applyFont="1" applyFill="1" applyBorder="1" applyAlignment="1">
      <alignment horizontal="center"/>
    </xf>
    <xf numFmtId="170" fontId="4" fillId="16" borderId="3" xfId="2" applyNumberFormat="1" applyFont="1" applyFill="1" applyBorder="1"/>
    <xf numFmtId="170" fontId="4" fillId="16" borderId="16" xfId="2" applyNumberFormat="1" applyFont="1" applyFill="1" applyBorder="1" applyAlignment="1">
      <alignment horizontal="center"/>
    </xf>
    <xf numFmtId="168" fontId="23" fillId="16" borderId="4" xfId="1" applyNumberFormat="1" applyFont="1" applyFill="1" applyBorder="1" applyAlignment="1">
      <alignment horizontal="center"/>
    </xf>
    <xf numFmtId="168" fontId="23" fillId="16" borderId="61" xfId="1" applyNumberFormat="1" applyFont="1" applyFill="1" applyBorder="1" applyAlignment="1">
      <alignment horizontal="center"/>
    </xf>
    <xf numFmtId="168" fontId="4" fillId="16" borderId="16" xfId="1" applyNumberFormat="1" applyFont="1" applyFill="1" applyBorder="1" applyAlignment="1">
      <alignment horizontal="center"/>
    </xf>
    <xf numFmtId="170" fontId="2" fillId="16" borderId="3" xfId="2" applyNumberFormat="1" applyFont="1" applyFill="1" applyBorder="1"/>
    <xf numFmtId="168" fontId="4" fillId="16" borderId="35" xfId="1" applyNumberFormat="1" applyFont="1" applyFill="1" applyBorder="1" applyAlignment="1">
      <alignment horizontal="center"/>
    </xf>
    <xf numFmtId="168" fontId="4" fillId="16" borderId="17" xfId="1" applyNumberFormat="1" applyFont="1" applyFill="1" applyBorder="1" applyAlignment="1">
      <alignment horizontal="center"/>
    </xf>
    <xf numFmtId="168" fontId="4" fillId="16" borderId="45" xfId="1" applyNumberFormat="1" applyFont="1" applyFill="1" applyBorder="1" applyAlignment="1">
      <alignment horizontal="center"/>
    </xf>
    <xf numFmtId="170" fontId="4" fillId="16" borderId="13" xfId="2" applyNumberFormat="1" applyFont="1" applyFill="1" applyBorder="1"/>
    <xf numFmtId="168" fontId="4" fillId="16" borderId="26" xfId="1" applyNumberFormat="1" applyFont="1" applyFill="1" applyBorder="1" applyAlignment="1">
      <alignment horizontal="center"/>
    </xf>
    <xf numFmtId="170" fontId="2" fillId="16" borderId="1" xfId="2" applyNumberFormat="1" applyFont="1" applyFill="1" applyBorder="1"/>
    <xf numFmtId="168" fontId="2" fillId="16" borderId="26" xfId="1" applyNumberFormat="1" applyFont="1" applyFill="1" applyBorder="1" applyAlignment="1">
      <alignment horizontal="center"/>
    </xf>
    <xf numFmtId="170" fontId="4" fillId="16" borderId="1" xfId="2" applyNumberFormat="1" applyFont="1" applyFill="1" applyBorder="1"/>
    <xf numFmtId="170" fontId="4" fillId="16" borderId="36" xfId="2" applyNumberFormat="1" applyFont="1" applyFill="1" applyBorder="1"/>
    <xf numFmtId="170" fontId="2" fillId="16" borderId="13" xfId="2" applyNumberFormat="1" applyFont="1" applyFill="1" applyBorder="1"/>
    <xf numFmtId="170" fontId="2" fillId="16" borderId="13" xfId="2" applyNumberFormat="1" applyFont="1" applyFill="1" applyBorder="1" applyAlignment="1">
      <alignment horizontal="center"/>
    </xf>
    <xf numFmtId="168" fontId="2" fillId="16" borderId="29" xfId="1" applyNumberFormat="1" applyFont="1" applyFill="1" applyBorder="1" applyAlignment="1">
      <alignment horizontal="center"/>
    </xf>
    <xf numFmtId="0" fontId="6" fillId="16" borderId="0" xfId="2" applyNumberFormat="1" applyFont="1" applyFill="1" applyBorder="1" applyAlignment="1">
      <alignment horizontal="center"/>
    </xf>
    <xf numFmtId="166" fontId="4" fillId="16" borderId="0" xfId="0" applyNumberFormat="1" applyFont="1" applyFill="1" applyBorder="1"/>
    <xf numFmtId="9" fontId="6" fillId="16" borderId="0" xfId="4" applyFont="1" applyFill="1" applyBorder="1" applyAlignment="1">
      <alignment horizontal="center"/>
    </xf>
    <xf numFmtId="0" fontId="24" fillId="10" borderId="35" xfId="0" applyFont="1" applyFill="1" applyBorder="1" applyAlignment="1">
      <alignment horizontal="center" wrapText="1"/>
    </xf>
    <xf numFmtId="0" fontId="24" fillId="10" borderId="38" xfId="0" applyFont="1" applyFill="1" applyBorder="1" applyAlignment="1">
      <alignment horizontal="center" wrapText="1"/>
    </xf>
    <xf numFmtId="0" fontId="29" fillId="9" borderId="27" xfId="0" applyFont="1" applyFill="1" applyBorder="1" applyAlignment="1">
      <alignment vertical="center" textRotation="90"/>
    </xf>
    <xf numFmtId="0" fontId="31" fillId="0" borderId="0" xfId="0" applyFont="1" applyBorder="1" applyAlignment="1">
      <alignment vertical="center" textRotation="90"/>
    </xf>
    <xf numFmtId="0" fontId="29" fillId="9" borderId="32" xfId="0" applyFont="1" applyFill="1" applyBorder="1" applyAlignment="1">
      <alignment vertical="center" textRotation="90"/>
    </xf>
    <xf numFmtId="0" fontId="24" fillId="16" borderId="44" xfId="0" applyFont="1" applyFill="1" applyBorder="1" applyAlignment="1">
      <alignment horizontal="center" wrapText="1"/>
    </xf>
    <xf numFmtId="0" fontId="24" fillId="10" borderId="44" xfId="0" applyFont="1" applyFill="1" applyBorder="1" applyAlignment="1">
      <alignment horizontal="center" wrapText="1"/>
    </xf>
    <xf numFmtId="166" fontId="4" fillId="16" borderId="44" xfId="0" applyNumberFormat="1" applyFont="1" applyFill="1" applyBorder="1"/>
    <xf numFmtId="170" fontId="4" fillId="16" borderId="22" xfId="2" applyNumberFormat="1" applyFont="1" applyFill="1" applyBorder="1"/>
    <xf numFmtId="170" fontId="2" fillId="16" borderId="22" xfId="2" applyNumberFormat="1" applyFont="1" applyFill="1" applyBorder="1"/>
    <xf numFmtId="170" fontId="4" fillId="16" borderId="24" xfId="2" applyNumberFormat="1" applyFont="1" applyFill="1" applyBorder="1"/>
    <xf numFmtId="170" fontId="2" fillId="16" borderId="23" xfId="2" applyNumberFormat="1" applyFont="1" applyFill="1" applyBorder="1"/>
    <xf numFmtId="170" fontId="4" fillId="16" borderId="23" xfId="2" applyNumberFormat="1" applyFont="1" applyFill="1" applyBorder="1"/>
    <xf numFmtId="170" fontId="4" fillId="16" borderId="44" xfId="2" applyNumberFormat="1" applyFont="1" applyFill="1" applyBorder="1"/>
    <xf numFmtId="170" fontId="2" fillId="16" borderId="24" xfId="2" applyNumberFormat="1" applyFont="1" applyFill="1" applyBorder="1"/>
    <xf numFmtId="0" fontId="24" fillId="16" borderId="1" xfId="0" applyFont="1" applyFill="1" applyBorder="1" applyAlignment="1">
      <alignment horizontal="center" wrapText="1"/>
    </xf>
    <xf numFmtId="0" fontId="2" fillId="16" borderId="1" xfId="0" applyFont="1" applyFill="1" applyBorder="1" applyAlignment="1">
      <alignment horizontal="center" wrapText="1"/>
    </xf>
    <xf numFmtId="0" fontId="8" fillId="13" borderId="10" xfId="0" applyFont="1" applyFill="1" applyBorder="1" applyAlignment="1">
      <alignment horizontal="left"/>
    </xf>
    <xf numFmtId="0" fontId="39" fillId="4" borderId="43" xfId="0" applyFont="1" applyFill="1" applyBorder="1" applyAlignment="1">
      <alignment horizontal="center" wrapText="1"/>
    </xf>
    <xf numFmtId="0" fontId="39" fillId="4" borderId="44" xfId="0" applyFont="1" applyFill="1" applyBorder="1" applyAlignment="1">
      <alignment horizontal="center" wrapText="1"/>
    </xf>
    <xf numFmtId="0" fontId="39" fillId="4" borderId="36" xfId="0" applyFont="1" applyFill="1" applyBorder="1" applyAlignment="1">
      <alignment horizontal="center" wrapText="1"/>
    </xf>
    <xf numFmtId="0" fontId="39" fillId="4" borderId="45" xfId="0" applyFont="1" applyFill="1" applyBorder="1" applyAlignment="1">
      <alignment horizontal="center" wrapText="1"/>
    </xf>
    <xf numFmtId="166" fontId="8" fillId="2" borderId="1" xfId="2" applyNumberFormat="1" applyFont="1" applyFill="1" applyBorder="1" applyAlignment="1" applyProtection="1">
      <alignment horizontal="right" wrapText="1"/>
      <protection locked="0"/>
    </xf>
    <xf numFmtId="1" fontId="8" fillId="5" borderId="29" xfId="2" applyNumberFormat="1" applyFont="1" applyFill="1" applyBorder="1" applyAlignment="1">
      <alignment horizontal="center"/>
    </xf>
    <xf numFmtId="0" fontId="41" fillId="10" borderId="22" xfId="0" applyFont="1" applyFill="1" applyBorder="1" applyProtection="1">
      <protection locked="0"/>
    </xf>
    <xf numFmtId="1" fontId="8" fillId="5" borderId="60" xfId="2" quotePrefix="1" applyNumberFormat="1" applyFont="1" applyFill="1" applyBorder="1" applyAlignment="1">
      <alignment horizontal="center"/>
    </xf>
    <xf numFmtId="1" fontId="8" fillId="5" borderId="28" xfId="0" applyNumberFormat="1" applyFont="1" applyFill="1" applyBorder="1" applyAlignment="1">
      <alignment horizontal="center" wrapText="1"/>
    </xf>
    <xf numFmtId="1" fontId="8" fillId="5" borderId="27" xfId="2" applyNumberFormat="1" applyFont="1" applyFill="1" applyBorder="1" applyAlignment="1">
      <alignment horizontal="center"/>
    </xf>
    <xf numFmtId="166" fontId="8" fillId="4" borderId="36" xfId="2" applyNumberFormat="1" applyFont="1" applyFill="1" applyBorder="1" applyAlignment="1" applyProtection="1">
      <alignment horizontal="right" wrapText="1"/>
      <protection locked="0"/>
    </xf>
    <xf numFmtId="1" fontId="16" fillId="9" borderId="45" xfId="2" applyNumberFormat="1" applyFont="1" applyFill="1" applyBorder="1" applyAlignment="1">
      <alignment horizontal="center"/>
    </xf>
    <xf numFmtId="0" fontId="8" fillId="2" borderId="21" xfId="0" applyFont="1" applyFill="1" applyBorder="1" applyAlignment="1" applyProtection="1">
      <alignment horizontal="left"/>
      <protection locked="0"/>
    </xf>
    <xf numFmtId="0" fontId="8" fillId="4" borderId="3" xfId="2" applyNumberFormat="1" applyFont="1" applyFill="1" applyBorder="1" applyAlignment="1" applyProtection="1">
      <alignment horizontal="center"/>
      <protection locked="0"/>
    </xf>
    <xf numFmtId="1" fontId="16" fillId="4" borderId="26" xfId="2" applyNumberFormat="1" applyFont="1" applyFill="1" applyBorder="1" applyAlignment="1">
      <alignment horizontal="center"/>
    </xf>
    <xf numFmtId="1" fontId="8" fillId="5" borderId="26" xfId="2" applyNumberFormat="1" applyFont="1" applyFill="1" applyBorder="1" applyAlignment="1">
      <alignment horizontal="center"/>
    </xf>
    <xf numFmtId="1" fontId="8" fillId="5" borderId="25" xfId="2" applyNumberFormat="1" applyFont="1" applyFill="1" applyBorder="1" applyAlignment="1">
      <alignment horizontal="center"/>
    </xf>
    <xf numFmtId="0" fontId="8" fillId="9" borderId="44" xfId="0" applyFont="1" applyFill="1" applyBorder="1" applyAlignment="1" applyProtection="1">
      <alignment horizontal="left"/>
      <protection locked="0"/>
    </xf>
    <xf numFmtId="0" fontId="40" fillId="9" borderId="0" xfId="0" applyFont="1" applyFill="1" applyBorder="1" applyProtection="1">
      <protection locked="0"/>
    </xf>
    <xf numFmtId="1" fontId="8" fillId="9" borderId="32" xfId="2" quotePrefix="1" applyNumberFormat="1" applyFont="1" applyFill="1" applyBorder="1" applyAlignment="1">
      <alignment horizontal="center"/>
    </xf>
    <xf numFmtId="0" fontId="41" fillId="10" borderId="23" xfId="0" applyFont="1" applyFill="1" applyBorder="1" applyProtection="1">
      <protection locked="0"/>
    </xf>
    <xf numFmtId="0" fontId="41" fillId="10" borderId="44" xfId="0" applyFont="1" applyFill="1" applyBorder="1" applyProtection="1">
      <protection locked="0"/>
    </xf>
    <xf numFmtId="0" fontId="41" fillId="0" borderId="23" xfId="0" applyFont="1" applyBorder="1" applyProtection="1">
      <protection locked="0"/>
    </xf>
    <xf numFmtId="0" fontId="41" fillId="10" borderId="39" xfId="0" applyFont="1" applyFill="1" applyBorder="1" applyProtection="1">
      <protection locked="0"/>
    </xf>
    <xf numFmtId="0" fontId="41" fillId="0" borderId="39" xfId="0" applyFont="1" applyBorder="1" applyProtection="1">
      <protection locked="0"/>
    </xf>
    <xf numFmtId="166" fontId="41" fillId="0" borderId="39" xfId="2" applyNumberFormat="1" applyFont="1" applyBorder="1" applyAlignment="1" applyProtection="1">
      <alignment horizontal="right" wrapText="1"/>
      <protection locked="0"/>
    </xf>
    <xf numFmtId="0" fontId="8" fillId="2" borderId="11" xfId="2" applyNumberFormat="1" applyFont="1" applyFill="1" applyBorder="1" applyAlignment="1" applyProtection="1">
      <alignment horizontal="center"/>
      <protection locked="0"/>
    </xf>
    <xf numFmtId="0" fontId="8" fillId="2" borderId="33" xfId="2" applyNumberFormat="1" applyFont="1" applyFill="1" applyBorder="1" applyAlignment="1" applyProtection="1">
      <alignment horizontal="center"/>
      <protection locked="0"/>
    </xf>
    <xf numFmtId="1" fontId="8" fillId="5" borderId="33" xfId="2" quotePrefix="1" applyNumberFormat="1" applyFont="1" applyFill="1" applyBorder="1" applyAlignment="1">
      <alignment horizontal="center"/>
    </xf>
    <xf numFmtId="0" fontId="18" fillId="0" borderId="7" xfId="0" applyFont="1" applyBorder="1" applyAlignment="1">
      <alignment vertical="center" textRotation="90"/>
    </xf>
    <xf numFmtId="0" fontId="18" fillId="0" borderId="0" xfId="0" applyFont="1" applyBorder="1" applyAlignment="1">
      <alignment vertical="center" textRotation="90"/>
    </xf>
    <xf numFmtId="166" fontId="4" fillId="16" borderId="11" xfId="0" applyNumberFormat="1" applyFont="1" applyFill="1" applyBorder="1"/>
    <xf numFmtId="9" fontId="4" fillId="16" borderId="11" xfId="4" applyFont="1" applyFill="1" applyBorder="1" applyAlignment="1">
      <alignment horizontal="center"/>
    </xf>
    <xf numFmtId="166" fontId="4" fillId="16" borderId="31" xfId="0" applyNumberFormat="1" applyFont="1" applyFill="1" applyBorder="1" applyAlignment="1">
      <alignment horizontal="center"/>
    </xf>
    <xf numFmtId="0" fontId="2" fillId="9" borderId="1" xfId="0" applyFont="1" applyFill="1" applyBorder="1" applyAlignment="1">
      <alignment horizontal="center" wrapText="1"/>
    </xf>
    <xf numFmtId="0" fontId="23" fillId="9" borderId="1" xfId="0" applyFont="1" applyFill="1" applyBorder="1" applyAlignment="1">
      <alignment horizontal="center" wrapText="1"/>
    </xf>
    <xf numFmtId="166" fontId="4" fillId="16" borderId="1" xfId="0" applyNumberFormat="1" applyFont="1" applyFill="1" applyBorder="1"/>
    <xf numFmtId="9" fontId="4" fillId="16" borderId="1" xfId="4" applyFont="1" applyFill="1" applyBorder="1" applyAlignment="1">
      <alignment horizontal="center"/>
    </xf>
    <xf numFmtId="0" fontId="0" fillId="16" borderId="1" xfId="0" applyFill="1" applyBorder="1"/>
    <xf numFmtId="0" fontId="27" fillId="16" borderId="48" xfId="0" applyFont="1" applyFill="1" applyBorder="1" applyAlignment="1">
      <alignment horizontal="center"/>
    </xf>
    <xf numFmtId="0" fontId="28" fillId="16" borderId="49" xfId="0" applyFont="1" applyFill="1" applyBorder="1" applyAlignment="1">
      <alignment horizontal="center"/>
    </xf>
    <xf numFmtId="170" fontId="4" fillId="16" borderId="15" xfId="2" applyNumberFormat="1" applyFont="1" applyFill="1" applyBorder="1"/>
    <xf numFmtId="170" fontId="4" fillId="16" borderId="15" xfId="2" applyNumberFormat="1" applyFont="1" applyFill="1" applyBorder="1" applyAlignment="1">
      <alignment horizontal="center"/>
    </xf>
    <xf numFmtId="168" fontId="2" fillId="16" borderId="31" xfId="1" applyNumberFormat="1" applyFont="1" applyFill="1" applyBorder="1" applyAlignment="1">
      <alignment horizontal="center"/>
    </xf>
    <xf numFmtId="168" fontId="2" fillId="16" borderId="45" xfId="1" applyNumberFormat="1" applyFont="1" applyFill="1" applyBorder="1" applyAlignment="1">
      <alignment horizontal="center"/>
    </xf>
    <xf numFmtId="0" fontId="8" fillId="10" borderId="1" xfId="0" applyFont="1" applyFill="1" applyBorder="1" applyAlignment="1" applyProtection="1">
      <alignment horizontal="center" wrapText="1"/>
      <protection locked="0"/>
    </xf>
    <xf numFmtId="0" fontId="8" fillId="4" borderId="1" xfId="0" applyFont="1" applyFill="1" applyBorder="1" applyAlignment="1" applyProtection="1">
      <alignment horizontal="left"/>
      <protection locked="0"/>
    </xf>
    <xf numFmtId="0" fontId="8" fillId="4" borderId="1" xfId="2" applyNumberFormat="1" applyFont="1" applyFill="1" applyBorder="1" applyAlignment="1" applyProtection="1">
      <alignment horizontal="center"/>
      <protection locked="0"/>
    </xf>
    <xf numFmtId="0" fontId="8" fillId="4" borderId="1" xfId="0" applyFont="1" applyFill="1" applyBorder="1" applyAlignment="1" applyProtection="1">
      <alignment horizontal="center"/>
      <protection locked="0"/>
    </xf>
    <xf numFmtId="0" fontId="8" fillId="9" borderId="1" xfId="0" applyFont="1" applyFill="1" applyBorder="1" applyAlignment="1" applyProtection="1">
      <alignment horizontal="left"/>
      <protection locked="0"/>
    </xf>
    <xf numFmtId="0" fontId="0" fillId="0" borderId="0" xfId="0" applyAlignment="1">
      <alignment horizontal="center"/>
    </xf>
    <xf numFmtId="1" fontId="8" fillId="10" borderId="1" xfId="2" applyNumberFormat="1" applyFont="1" applyFill="1" applyBorder="1" applyAlignment="1" applyProtection="1">
      <alignment horizontal="center"/>
      <protection locked="0"/>
    </xf>
    <xf numFmtId="1" fontId="8" fillId="0" borderId="1" xfId="2" applyNumberFormat="1" applyFont="1" applyFill="1" applyBorder="1" applyAlignment="1" applyProtection="1">
      <alignment horizontal="center"/>
      <protection locked="0"/>
    </xf>
    <xf numFmtId="0" fontId="18" fillId="0" borderId="0" xfId="0" applyFont="1" applyBorder="1" applyAlignment="1">
      <alignment horizontal="center" vertical="center" textRotation="90"/>
    </xf>
    <xf numFmtId="0" fontId="8" fillId="9" borderId="3" xfId="0" applyFont="1" applyFill="1" applyBorder="1" applyAlignment="1" applyProtection="1">
      <alignment horizontal="left"/>
      <protection locked="0"/>
    </xf>
    <xf numFmtId="171" fontId="8" fillId="9" borderId="3" xfId="0" applyNumberFormat="1" applyFont="1" applyFill="1" applyBorder="1" applyAlignment="1">
      <alignment horizontal="right"/>
    </xf>
    <xf numFmtId="0" fontId="8" fillId="2" borderId="59" xfId="0" applyFont="1" applyFill="1" applyBorder="1" applyAlignment="1" applyProtection="1">
      <alignment horizontal="left"/>
      <protection locked="0"/>
    </xf>
    <xf numFmtId="0" fontId="0" fillId="10" borderId="1" xfId="0" applyFill="1" applyBorder="1" applyAlignment="1">
      <alignment horizontal="center"/>
    </xf>
    <xf numFmtId="0" fontId="8" fillId="0" borderId="63" xfId="0" applyFont="1" applyBorder="1" applyAlignment="1" applyProtection="1">
      <alignment horizontal="center" wrapText="1"/>
      <protection locked="0"/>
    </xf>
    <xf numFmtId="0" fontId="8" fillId="0" borderId="22" xfId="0" applyFont="1" applyBorder="1" applyAlignment="1" applyProtection="1">
      <alignment horizontal="left"/>
      <protection locked="0"/>
    </xf>
    <xf numFmtId="0" fontId="8" fillId="0" borderId="3" xfId="0" applyFont="1" applyBorder="1" applyAlignment="1" applyProtection="1">
      <alignment horizontal="center" wrapText="1"/>
      <protection locked="0"/>
    </xf>
    <xf numFmtId="0" fontId="8" fillId="0" borderId="58" xfId="0" applyFont="1" applyBorder="1" applyAlignment="1" applyProtection="1">
      <alignment horizontal="center" wrapText="1"/>
      <protection locked="0"/>
    </xf>
    <xf numFmtId="0" fontId="8" fillId="0" borderId="22" xfId="0" applyFont="1" applyFill="1" applyBorder="1" applyAlignment="1" applyProtection="1">
      <alignment horizontal="left"/>
      <protection locked="0"/>
    </xf>
    <xf numFmtId="0" fontId="8" fillId="0" borderId="3" xfId="2" applyNumberFormat="1" applyFont="1" applyFill="1" applyBorder="1" applyAlignment="1" applyProtection="1">
      <alignment horizontal="center"/>
      <protection locked="0"/>
    </xf>
    <xf numFmtId="0" fontId="2" fillId="2" borderId="22" xfId="0" applyFont="1" applyFill="1" applyBorder="1" applyAlignment="1" applyProtection="1">
      <alignment horizontal="center"/>
      <protection locked="0"/>
    </xf>
    <xf numFmtId="0" fontId="8" fillId="0" borderId="1" xfId="2" applyNumberFormat="1"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8" fillId="10" borderId="11" xfId="2" applyNumberFormat="1" applyFont="1" applyFill="1" applyBorder="1" applyAlignment="1" applyProtection="1">
      <alignment horizontal="center"/>
      <protection locked="0"/>
    </xf>
    <xf numFmtId="0" fontId="8" fillId="10" borderId="39" xfId="0" applyFont="1" applyFill="1" applyBorder="1" applyAlignment="1" applyProtection="1">
      <alignment horizontal="center"/>
      <protection locked="0"/>
    </xf>
    <xf numFmtId="0" fontId="6" fillId="2" borderId="1" xfId="0" applyFont="1" applyFill="1" applyBorder="1" applyAlignment="1" applyProtection="1">
      <alignment horizontal="left"/>
      <protection locked="0"/>
    </xf>
    <xf numFmtId="0" fontId="8" fillId="9" borderId="58" xfId="0" applyFont="1" applyFill="1" applyBorder="1" applyAlignment="1" applyProtection="1">
      <alignment horizontal="center" wrapText="1"/>
      <protection locked="0"/>
    </xf>
    <xf numFmtId="0" fontId="2" fillId="9" borderId="22" xfId="0" applyFont="1" applyFill="1" applyBorder="1" applyAlignment="1" applyProtection="1">
      <alignment horizontal="center"/>
      <protection locked="0"/>
    </xf>
    <xf numFmtId="0" fontId="2" fillId="9" borderId="58" xfId="0" applyFont="1" applyFill="1" applyBorder="1" applyAlignment="1" applyProtection="1">
      <alignment horizontal="center"/>
      <protection locked="0"/>
    </xf>
    <xf numFmtId="168" fontId="8" fillId="9" borderId="3" xfId="0" applyNumberFormat="1" applyFont="1" applyFill="1" applyBorder="1" applyAlignment="1" applyProtection="1">
      <alignment horizontal="center" wrapText="1"/>
    </xf>
    <xf numFmtId="168" fontId="2" fillId="9" borderId="3" xfId="1" quotePrefix="1" applyNumberFormat="1" applyFont="1" applyFill="1" applyBorder="1" applyAlignment="1" applyProtection="1">
      <alignment horizontal="center"/>
    </xf>
    <xf numFmtId="168" fontId="8" fillId="9" borderId="11" xfId="1" quotePrefix="1" applyNumberFormat="1" applyFont="1" applyFill="1" applyBorder="1" applyAlignment="1" applyProtection="1">
      <alignment horizontal="center"/>
    </xf>
    <xf numFmtId="0" fontId="8" fillId="0" borderId="22" xfId="0" applyFont="1" applyBorder="1" applyAlignment="1">
      <alignment horizontal="center"/>
    </xf>
    <xf numFmtId="0" fontId="8" fillId="0" borderId="22" xfId="0" applyFont="1" applyFill="1" applyBorder="1" applyAlignment="1">
      <alignment horizontal="center"/>
    </xf>
    <xf numFmtId="168" fontId="2" fillId="9" borderId="1" xfId="1" quotePrefix="1" applyNumberFormat="1" applyFont="1" applyFill="1" applyBorder="1" applyAlignment="1" applyProtection="1">
      <alignment horizontal="center"/>
    </xf>
    <xf numFmtId="44" fontId="8" fillId="0" borderId="22" xfId="2" applyFont="1" applyBorder="1" applyAlignment="1">
      <alignment horizontal="center"/>
    </xf>
    <xf numFmtId="44" fontId="8" fillId="0" borderId="22" xfId="2" applyFont="1" applyFill="1" applyBorder="1" applyAlignment="1">
      <alignment horizontal="center"/>
    </xf>
    <xf numFmtId="44" fontId="8" fillId="0" borderId="1" xfId="2" applyFont="1" applyFill="1" applyBorder="1" applyAlignment="1">
      <alignment horizontal="center"/>
    </xf>
    <xf numFmtId="44" fontId="0" fillId="0" borderId="0" xfId="2" applyFont="1" applyAlignment="1">
      <alignment horizontal="center"/>
    </xf>
    <xf numFmtId="165" fontId="8" fillId="0" borderId="3" xfId="2" applyNumberFormat="1" applyFont="1" applyBorder="1" applyAlignment="1" applyProtection="1">
      <alignment horizontal="center" wrapText="1"/>
      <protection locked="0"/>
    </xf>
    <xf numFmtId="165" fontId="8" fillId="0" borderId="3" xfId="2" applyNumberFormat="1" applyFont="1" applyFill="1" applyBorder="1" applyAlignment="1" applyProtection="1">
      <alignment horizontal="center"/>
      <protection locked="0"/>
    </xf>
    <xf numFmtId="165" fontId="8" fillId="0" borderId="1" xfId="2" applyNumberFormat="1" applyFont="1" applyFill="1" applyBorder="1" applyAlignment="1" applyProtection="1">
      <alignment horizontal="center"/>
      <protection locked="0"/>
    </xf>
    <xf numFmtId="165" fontId="8" fillId="2" borderId="1" xfId="2" applyNumberFormat="1" applyFont="1" applyFill="1" applyBorder="1" applyAlignment="1" applyProtection="1">
      <alignment horizontal="center"/>
      <protection locked="0"/>
    </xf>
    <xf numFmtId="165" fontId="8" fillId="10" borderId="11" xfId="2" applyNumberFormat="1" applyFont="1" applyFill="1" applyBorder="1" applyAlignment="1" applyProtection="1">
      <alignment horizontal="center"/>
      <protection locked="0"/>
    </xf>
    <xf numFmtId="0" fontId="38" fillId="0" borderId="0" xfId="0" applyFont="1" applyAlignment="1">
      <alignment vertical="center" textRotation="90"/>
    </xf>
    <xf numFmtId="49" fontId="38" fillId="9" borderId="44" xfId="0" applyNumberFormat="1" applyFont="1" applyFill="1" applyBorder="1" applyAlignment="1">
      <alignment vertical="center" textRotation="90"/>
    </xf>
    <xf numFmtId="44" fontId="8" fillId="0" borderId="39" xfId="2" applyFont="1" applyBorder="1" applyAlignment="1">
      <alignment horizontal="right"/>
    </xf>
    <xf numFmtId="165" fontId="8" fillId="2" borderId="1" xfId="2" applyNumberFormat="1" applyFont="1" applyFill="1" applyBorder="1" applyAlignment="1" applyProtection="1">
      <alignment horizontal="right" wrapText="1"/>
      <protection locked="0"/>
    </xf>
    <xf numFmtId="165" fontId="8" fillId="4" borderId="36" xfId="2" applyNumberFormat="1" applyFont="1" applyFill="1" applyBorder="1" applyAlignment="1" applyProtection="1">
      <alignment horizontal="right" wrapText="1"/>
      <protection locked="0"/>
    </xf>
    <xf numFmtId="165" fontId="41" fillId="0" borderId="39" xfId="2" applyNumberFormat="1" applyFont="1" applyBorder="1" applyAlignment="1" applyProtection="1">
      <alignment horizontal="right" wrapText="1"/>
      <protection locked="0"/>
    </xf>
    <xf numFmtId="165" fontId="8" fillId="5" borderId="1" xfId="2" applyNumberFormat="1" applyFont="1" applyFill="1" applyBorder="1" applyAlignment="1">
      <alignment horizontal="right"/>
    </xf>
    <xf numFmtId="165" fontId="8" fillId="5" borderId="10" xfId="2" applyNumberFormat="1" applyFont="1" applyFill="1" applyBorder="1" applyAlignment="1">
      <alignment horizontal="right"/>
    </xf>
    <xf numFmtId="165" fontId="8" fillId="5" borderId="11" xfId="2" applyNumberFormat="1" applyFont="1" applyFill="1" applyBorder="1" applyAlignment="1">
      <alignment horizontal="right"/>
    </xf>
    <xf numFmtId="165" fontId="8" fillId="4" borderId="43" xfId="2" applyNumberFormat="1" applyFont="1" applyFill="1" applyBorder="1" applyAlignment="1">
      <alignment horizontal="right"/>
    </xf>
    <xf numFmtId="165" fontId="8" fillId="4" borderId="36" xfId="2" applyNumberFormat="1" applyFont="1" applyFill="1" applyBorder="1" applyAlignment="1">
      <alignment horizontal="right"/>
    </xf>
    <xf numFmtId="165" fontId="8" fillId="9" borderId="36" xfId="2" applyNumberFormat="1" applyFont="1" applyFill="1" applyBorder="1" applyAlignment="1">
      <alignment horizontal="right"/>
    </xf>
    <xf numFmtId="165" fontId="8" fillId="5" borderId="3" xfId="2" applyNumberFormat="1" applyFont="1" applyFill="1" applyBorder="1" applyAlignment="1">
      <alignment horizontal="right"/>
    </xf>
    <xf numFmtId="165" fontId="8" fillId="4" borderId="3" xfId="2" applyNumberFormat="1" applyFont="1" applyFill="1" applyBorder="1" applyAlignment="1">
      <alignment horizontal="right"/>
    </xf>
    <xf numFmtId="165" fontId="8" fillId="5" borderId="2" xfId="2" applyNumberFormat="1" applyFont="1" applyFill="1" applyBorder="1" applyAlignment="1">
      <alignment horizontal="right"/>
    </xf>
    <xf numFmtId="165" fontId="8" fillId="9" borderId="44" xfId="2" applyNumberFormat="1" applyFont="1" applyFill="1" applyBorder="1" applyAlignment="1">
      <alignment horizontal="right"/>
    </xf>
    <xf numFmtId="0" fontId="2" fillId="9" borderId="0" xfId="0" applyFont="1" applyFill="1" applyBorder="1" applyAlignment="1" applyProtection="1">
      <alignment horizontal="center"/>
      <protection locked="0"/>
    </xf>
    <xf numFmtId="0" fontId="0" fillId="16" borderId="41" xfId="0" applyFill="1" applyBorder="1" applyAlignment="1"/>
    <xf numFmtId="0" fontId="0" fillId="16" borderId="57" xfId="0" applyFill="1" applyBorder="1" applyAlignment="1"/>
    <xf numFmtId="0" fontId="46" fillId="15" borderId="65" xfId="0" applyFont="1" applyFill="1" applyBorder="1"/>
    <xf numFmtId="0" fontId="4" fillId="15" borderId="37" xfId="0" applyFont="1" applyFill="1" applyBorder="1" applyAlignment="1">
      <alignment horizontal="center"/>
    </xf>
    <xf numFmtId="0" fontId="4" fillId="15" borderId="35" xfId="0" applyFont="1" applyFill="1" applyBorder="1"/>
    <xf numFmtId="0" fontId="46" fillId="15" borderId="0" xfId="0" applyFont="1" applyFill="1" applyBorder="1"/>
    <xf numFmtId="167" fontId="2" fillId="15" borderId="44" xfId="0" applyNumberFormat="1" applyFont="1" applyFill="1" applyBorder="1" applyAlignment="1">
      <alignment horizontal="center"/>
    </xf>
    <xf numFmtId="0" fontId="4" fillId="15" borderId="35" xfId="0" applyFont="1" applyFill="1" applyBorder="1" applyAlignment="1">
      <alignment horizontal="left"/>
    </xf>
    <xf numFmtId="0" fontId="46" fillId="15" borderId="16" xfId="0" applyFont="1" applyFill="1" applyBorder="1"/>
    <xf numFmtId="0" fontId="46" fillId="15" borderId="58" xfId="0" applyFont="1" applyFill="1" applyBorder="1"/>
    <xf numFmtId="0" fontId="45" fillId="15" borderId="22" xfId="0" applyFont="1" applyFill="1" applyBorder="1" applyAlignment="1">
      <alignment horizontal="center"/>
    </xf>
    <xf numFmtId="0" fontId="8" fillId="0" borderId="24" xfId="0" applyFont="1" applyBorder="1" applyAlignment="1">
      <alignment horizontal="center"/>
    </xf>
    <xf numFmtId="0" fontId="8" fillId="0" borderId="39" xfId="0" applyFont="1" applyFill="1" applyBorder="1" applyAlignment="1">
      <alignment horizontal="center"/>
    </xf>
    <xf numFmtId="0" fontId="6" fillId="9" borderId="39" xfId="0" applyFont="1" applyFill="1" applyBorder="1" applyAlignment="1" applyProtection="1">
      <alignment horizontal="center"/>
      <protection locked="0"/>
    </xf>
    <xf numFmtId="0" fontId="49" fillId="0" borderId="0" xfId="0" applyFont="1" applyBorder="1" applyAlignment="1">
      <alignment vertical="center"/>
    </xf>
    <xf numFmtId="0" fontId="49" fillId="0" borderId="0" xfId="0" applyFont="1" applyBorder="1" applyAlignment="1">
      <alignment horizontal="left" vertical="center"/>
    </xf>
    <xf numFmtId="0" fontId="0" fillId="0" borderId="0" xfId="0" applyBorder="1" applyAlignment="1">
      <alignment horizontal="left"/>
    </xf>
    <xf numFmtId="0" fontId="50" fillId="0" borderId="0" xfId="0" applyFont="1" applyBorder="1" applyAlignment="1">
      <alignment horizontal="left" vertical="center"/>
    </xf>
    <xf numFmtId="0" fontId="0" fillId="0" borderId="0" xfId="0" applyFill="1" applyBorder="1"/>
    <xf numFmtId="44" fontId="0" fillId="0" borderId="0" xfId="2" applyFont="1" applyBorder="1"/>
    <xf numFmtId="0" fontId="49" fillId="0" borderId="58" xfId="0" applyFont="1" applyBorder="1" applyAlignment="1">
      <alignment vertical="center"/>
    </xf>
    <xf numFmtId="164" fontId="8" fillId="2" borderId="1" xfId="0" applyNumberFormat="1" applyFont="1" applyFill="1" applyBorder="1" applyAlignment="1">
      <alignment horizontal="right"/>
    </xf>
    <xf numFmtId="164" fontId="8" fillId="4" borderId="1" xfId="2" applyNumberFormat="1" applyFont="1" applyFill="1" applyBorder="1" applyAlignment="1" applyProtection="1">
      <alignment horizontal="right"/>
      <protection locked="0"/>
    </xf>
    <xf numFmtId="172" fontId="8" fillId="10" borderId="1" xfId="2" applyNumberFormat="1" applyFont="1" applyFill="1" applyBorder="1" applyAlignment="1" applyProtection="1">
      <alignment horizontal="right" wrapText="1"/>
      <protection locked="0"/>
    </xf>
    <xf numFmtId="172" fontId="8" fillId="10" borderId="1" xfId="2" applyNumberFormat="1" applyFont="1" applyFill="1" applyBorder="1" applyAlignment="1" applyProtection="1">
      <alignment horizontal="right"/>
      <protection locked="0"/>
    </xf>
    <xf numFmtId="172" fontId="8" fillId="4" borderId="1" xfId="2" applyNumberFormat="1" applyFont="1" applyFill="1" applyBorder="1" applyAlignment="1" applyProtection="1">
      <alignment horizontal="right"/>
      <protection locked="0"/>
    </xf>
    <xf numFmtId="172" fontId="8" fillId="2" borderId="1" xfId="2" applyNumberFormat="1" applyFont="1" applyFill="1" applyBorder="1" applyAlignment="1" applyProtection="1">
      <alignment horizontal="right"/>
      <protection locked="0"/>
    </xf>
    <xf numFmtId="172" fontId="8" fillId="0" borderId="1" xfId="2" applyNumberFormat="1" applyFont="1" applyFill="1" applyBorder="1" applyAlignment="1" applyProtection="1">
      <alignment horizontal="right"/>
      <protection locked="0"/>
    </xf>
    <xf numFmtId="164" fontId="8" fillId="4" borderId="1" xfId="2" applyNumberFormat="1" applyFont="1" applyFill="1" applyBorder="1" applyAlignment="1">
      <alignment horizontal="right"/>
    </xf>
    <xf numFmtId="172" fontId="8" fillId="5" borderId="1" xfId="2" applyNumberFormat="1" applyFont="1" applyFill="1" applyBorder="1" applyAlignment="1">
      <alignment horizontal="right"/>
    </xf>
    <xf numFmtId="172" fontId="8" fillId="9" borderId="1" xfId="2" applyNumberFormat="1" applyFont="1" applyFill="1" applyBorder="1" applyAlignment="1">
      <alignment horizontal="right"/>
    </xf>
    <xf numFmtId="172" fontId="8" fillId="4" borderId="1" xfId="2" applyNumberFormat="1" applyFont="1" applyFill="1" applyBorder="1" applyAlignment="1">
      <alignment horizontal="right"/>
    </xf>
    <xf numFmtId="0" fontId="8" fillId="2" borderId="1" xfId="0" applyFont="1" applyFill="1" applyBorder="1" applyAlignment="1">
      <alignment horizontal="center"/>
    </xf>
    <xf numFmtId="166" fontId="8" fillId="4" borderId="1" xfId="2" applyNumberFormat="1" applyFont="1" applyFill="1" applyBorder="1" applyAlignment="1" applyProtection="1">
      <alignment horizontal="center"/>
      <protection locked="0"/>
    </xf>
    <xf numFmtId="1" fontId="8" fillId="10" borderId="1" xfId="0" applyNumberFormat="1" applyFont="1" applyFill="1" applyBorder="1" applyAlignment="1">
      <alignment horizontal="center" wrapText="1"/>
    </xf>
    <xf numFmtId="1" fontId="8" fillId="10" borderId="1" xfId="1" quotePrefix="1" applyNumberFormat="1" applyFont="1" applyFill="1" applyBorder="1" applyAlignment="1">
      <alignment horizontal="center"/>
    </xf>
    <xf numFmtId="1" fontId="8" fillId="4" borderId="1" xfId="1" quotePrefix="1" applyNumberFormat="1" applyFont="1" applyFill="1" applyBorder="1" applyAlignment="1">
      <alignment horizontal="center"/>
    </xf>
    <xf numFmtId="1" fontId="8" fillId="2" borderId="1" xfId="1" quotePrefix="1" applyNumberFormat="1" applyFont="1" applyFill="1" applyBorder="1" applyAlignment="1">
      <alignment horizontal="center"/>
    </xf>
    <xf numFmtId="1" fontId="8" fillId="0" borderId="39" xfId="0" applyNumberFormat="1" applyFont="1" applyBorder="1" applyAlignment="1">
      <alignment horizontal="center"/>
    </xf>
    <xf numFmtId="1" fontId="8" fillId="4" borderId="36" xfId="2" applyNumberFormat="1" applyFont="1" applyFill="1" applyBorder="1" applyAlignment="1" applyProtection="1">
      <alignment horizontal="center" wrapText="1"/>
      <protection locked="0"/>
    </xf>
    <xf numFmtId="1" fontId="8" fillId="0" borderId="11" xfId="0" applyNumberFormat="1" applyFont="1" applyBorder="1" applyAlignment="1">
      <alignment horizontal="center" wrapText="1"/>
    </xf>
    <xf numFmtId="1" fontId="8" fillId="2" borderId="11" xfId="1" quotePrefix="1" applyNumberFormat="1" applyFont="1" applyFill="1" applyBorder="1" applyAlignment="1">
      <alignment horizontal="center"/>
    </xf>
    <xf numFmtId="1" fontId="8" fillId="4" borderId="11" xfId="1" quotePrefix="1" applyNumberFormat="1" applyFont="1" applyFill="1" applyBorder="1" applyAlignment="1">
      <alignment horizontal="center"/>
    </xf>
    <xf numFmtId="1" fontId="8" fillId="4" borderId="15" xfId="1" quotePrefix="1" applyNumberFormat="1" applyFont="1" applyFill="1" applyBorder="1" applyAlignment="1">
      <alignment horizontal="center"/>
    </xf>
    <xf numFmtId="1" fontId="8" fillId="2" borderId="11" xfId="0" applyNumberFormat="1" applyFont="1" applyFill="1" applyBorder="1" applyAlignment="1">
      <alignment horizontal="center"/>
    </xf>
    <xf numFmtId="0" fontId="8" fillId="10" borderId="8" xfId="0" applyFont="1" applyFill="1" applyBorder="1" applyAlignment="1" applyProtection="1">
      <alignment horizontal="left"/>
      <protection locked="0"/>
    </xf>
    <xf numFmtId="0" fontId="8" fillId="2" borderId="18" xfId="0" applyFont="1" applyFill="1" applyBorder="1" applyAlignment="1" applyProtection="1">
      <alignment horizontal="left"/>
      <protection locked="0"/>
    </xf>
    <xf numFmtId="0" fontId="8" fillId="10" borderId="51" xfId="0" applyFont="1" applyFill="1" applyBorder="1" applyAlignment="1" applyProtection="1">
      <alignment horizontal="left" wrapText="1"/>
      <protection locked="0"/>
    </xf>
    <xf numFmtId="0" fontId="8" fillId="4" borderId="7" xfId="0" applyFont="1" applyFill="1" applyBorder="1" applyAlignment="1" applyProtection="1">
      <alignment horizontal="left"/>
      <protection locked="0"/>
    </xf>
    <xf numFmtId="0" fontId="8" fillId="14" borderId="7" xfId="0" applyFont="1" applyFill="1" applyBorder="1" applyAlignment="1" applyProtection="1">
      <alignment horizontal="left"/>
      <protection locked="0"/>
    </xf>
    <xf numFmtId="0" fontId="8" fillId="2" borderId="50" xfId="0" applyFont="1" applyFill="1" applyBorder="1" applyAlignment="1" applyProtection="1">
      <alignment horizontal="left"/>
      <protection locked="0"/>
    </xf>
    <xf numFmtId="0" fontId="8" fillId="2" borderId="67" xfId="0" applyFont="1" applyFill="1" applyBorder="1" applyAlignment="1" applyProtection="1">
      <alignment horizontal="left"/>
      <protection locked="0"/>
    </xf>
    <xf numFmtId="0" fontId="8" fillId="2" borderId="51" xfId="0" applyFont="1" applyFill="1" applyBorder="1" applyAlignment="1" applyProtection="1">
      <alignment horizontal="left"/>
      <protection locked="0"/>
    </xf>
    <xf numFmtId="0" fontId="8" fillId="4" borderId="67" xfId="0" applyFont="1" applyFill="1" applyBorder="1" applyAlignment="1" applyProtection="1">
      <alignment horizontal="left"/>
      <protection locked="0"/>
    </xf>
    <xf numFmtId="0" fontId="8" fillId="10" borderId="51" xfId="0" applyFont="1" applyFill="1" applyBorder="1" applyAlignment="1" applyProtection="1">
      <alignment horizontal="left"/>
      <protection locked="0"/>
    </xf>
    <xf numFmtId="165" fontId="8" fillId="5" borderId="24" xfId="2" applyNumberFormat="1" applyFont="1" applyFill="1" applyBorder="1" applyAlignment="1">
      <alignment horizontal="right"/>
    </xf>
    <xf numFmtId="165" fontId="8" fillId="5" borderId="23" xfId="2" applyNumberFormat="1" applyFont="1" applyFill="1" applyBorder="1" applyAlignment="1">
      <alignment horizontal="right"/>
    </xf>
    <xf numFmtId="165" fontId="8" fillId="5" borderId="39" xfId="2" applyNumberFormat="1" applyFont="1" applyFill="1" applyBorder="1" applyAlignment="1">
      <alignment horizontal="right"/>
    </xf>
    <xf numFmtId="165" fontId="8" fillId="4" borderId="44" xfId="2" applyNumberFormat="1" applyFont="1" applyFill="1" applyBorder="1" applyAlignment="1">
      <alignment horizontal="right"/>
    </xf>
    <xf numFmtId="165" fontId="8" fillId="5" borderId="22" xfId="2" applyNumberFormat="1" applyFont="1" applyFill="1" applyBorder="1" applyAlignment="1">
      <alignment horizontal="right"/>
    </xf>
    <xf numFmtId="165" fontId="8" fillId="4" borderId="22" xfId="2" applyNumberFormat="1" applyFont="1" applyFill="1" applyBorder="1" applyAlignment="1">
      <alignment horizontal="right"/>
    </xf>
    <xf numFmtId="165" fontId="8" fillId="5" borderId="21" xfId="2" applyNumberFormat="1" applyFont="1" applyFill="1" applyBorder="1" applyAlignment="1">
      <alignment horizontal="right"/>
    </xf>
    <xf numFmtId="0" fontId="6" fillId="9" borderId="44" xfId="0" applyFont="1" applyFill="1" applyBorder="1" applyAlignment="1">
      <alignment horizontal="left"/>
    </xf>
    <xf numFmtId="0" fontId="39" fillId="4" borderId="0" xfId="0" applyFont="1" applyFill="1" applyBorder="1" applyAlignment="1">
      <alignment horizontal="center" wrapText="1"/>
    </xf>
    <xf numFmtId="0" fontId="8" fillId="4" borderId="0" xfId="0" applyFont="1" applyFill="1" applyBorder="1" applyAlignment="1" applyProtection="1">
      <alignment horizontal="left"/>
      <protection locked="0"/>
    </xf>
    <xf numFmtId="0" fontId="8" fillId="0" borderId="1" xfId="0" applyFont="1" applyBorder="1" applyAlignment="1" applyProtection="1">
      <alignment horizontal="left"/>
      <protection locked="0"/>
    </xf>
    <xf numFmtId="44" fontId="8" fillId="0" borderId="1" xfId="2" applyFont="1" applyBorder="1" applyAlignment="1">
      <alignment horizontal="right"/>
    </xf>
    <xf numFmtId="1" fontId="8" fillId="0" borderId="1" xfId="0" applyNumberFormat="1" applyFont="1" applyBorder="1" applyAlignment="1">
      <alignment horizontal="center"/>
    </xf>
    <xf numFmtId="165" fontId="8" fillId="0" borderId="1" xfId="2" applyNumberFormat="1" applyFont="1" applyBorder="1" applyAlignment="1" applyProtection="1">
      <alignment horizontal="right" wrapText="1"/>
      <protection locked="0"/>
    </xf>
    <xf numFmtId="166" fontId="42" fillId="0" borderId="1" xfId="2" applyNumberFormat="1" applyFont="1" applyBorder="1" applyAlignment="1" applyProtection="1">
      <alignment horizontal="right" wrapText="1"/>
      <protection locked="0"/>
    </xf>
    <xf numFmtId="1" fontId="8" fillId="0" borderId="1" xfId="0" applyNumberFormat="1" applyFont="1" applyBorder="1" applyAlignment="1">
      <alignment horizontal="center" wrapText="1"/>
    </xf>
    <xf numFmtId="0" fontId="8" fillId="0" borderId="1" xfId="0" applyFont="1" applyBorder="1" applyAlignment="1" applyProtection="1">
      <alignment horizontal="center" wrapText="1"/>
      <protection locked="0"/>
    </xf>
    <xf numFmtId="0" fontId="8" fillId="2" borderId="1" xfId="0" applyFont="1" applyFill="1" applyBorder="1" applyAlignment="1" applyProtection="1">
      <alignment horizontal="left" wrapText="1"/>
      <protection locked="0"/>
    </xf>
    <xf numFmtId="167" fontId="8" fillId="0" borderId="1" xfId="0" applyNumberFormat="1" applyFont="1" applyBorder="1" applyAlignment="1">
      <alignment horizontal="center"/>
    </xf>
    <xf numFmtId="0" fontId="8" fillId="4" borderId="1" xfId="0" applyFont="1" applyFill="1" applyBorder="1" applyAlignment="1">
      <alignment horizontal="left"/>
    </xf>
    <xf numFmtId="166" fontId="8" fillId="4" borderId="1" xfId="2" applyNumberFormat="1" applyFont="1" applyFill="1" applyBorder="1" applyAlignment="1" applyProtection="1">
      <alignment horizontal="right" wrapText="1"/>
      <protection locked="0"/>
    </xf>
    <xf numFmtId="1" fontId="8" fillId="4" borderId="1" xfId="2" applyNumberFormat="1" applyFont="1" applyFill="1" applyBorder="1" applyAlignment="1" applyProtection="1">
      <alignment horizontal="center" wrapText="1"/>
      <protection locked="0"/>
    </xf>
    <xf numFmtId="165" fontId="8" fillId="4" borderId="1" xfId="2" applyNumberFormat="1" applyFont="1" applyFill="1" applyBorder="1" applyAlignment="1" applyProtection="1">
      <alignment horizontal="right" wrapText="1"/>
      <protection locked="0"/>
    </xf>
    <xf numFmtId="0" fontId="8" fillId="9" borderId="1" xfId="0" applyFont="1" applyFill="1" applyBorder="1" applyAlignment="1">
      <alignment horizontal="left"/>
    </xf>
    <xf numFmtId="166" fontId="8" fillId="9" borderId="1" xfId="2" applyNumberFormat="1" applyFont="1" applyFill="1" applyBorder="1" applyAlignment="1" applyProtection="1">
      <alignment horizontal="right" wrapText="1"/>
      <protection locked="0"/>
    </xf>
    <xf numFmtId="1" fontId="8" fillId="9" borderId="1" xfId="2" applyNumberFormat="1" applyFont="1" applyFill="1" applyBorder="1" applyAlignment="1" applyProtection="1">
      <alignment horizontal="center" wrapText="1"/>
      <protection locked="0"/>
    </xf>
    <xf numFmtId="165" fontId="8" fillId="9" borderId="1" xfId="2" applyNumberFormat="1" applyFont="1" applyFill="1" applyBorder="1" applyAlignment="1" applyProtection="1">
      <alignment horizontal="right" wrapText="1"/>
      <protection locked="0"/>
    </xf>
    <xf numFmtId="1" fontId="8" fillId="9" borderId="1" xfId="1" quotePrefix="1" applyNumberFormat="1" applyFont="1" applyFill="1" applyBorder="1" applyAlignment="1">
      <alignment horizontal="center"/>
    </xf>
    <xf numFmtId="0" fontId="8" fillId="9" borderId="1" xfId="2" applyNumberFormat="1" applyFont="1" applyFill="1" applyBorder="1" applyAlignment="1" applyProtection="1">
      <alignment horizontal="center"/>
      <protection locked="0"/>
    </xf>
    <xf numFmtId="0" fontId="8" fillId="9" borderId="1" xfId="0" applyFont="1" applyFill="1" applyBorder="1" applyAlignment="1" applyProtection="1">
      <alignment horizontal="center"/>
      <protection locked="0"/>
    </xf>
    <xf numFmtId="0" fontId="8" fillId="2" borderId="1" xfId="2" quotePrefix="1" applyNumberFormat="1" applyFont="1" applyFill="1" applyBorder="1" applyAlignment="1" applyProtection="1">
      <alignment horizontal="center"/>
      <protection locked="0"/>
    </xf>
    <xf numFmtId="0" fontId="8" fillId="2" borderId="16" xfId="0" applyFont="1" applyFill="1" applyBorder="1" applyAlignment="1" applyProtection="1">
      <alignment horizontal="left"/>
      <protection locked="0"/>
    </xf>
    <xf numFmtId="0" fontId="8" fillId="2" borderId="19" xfId="0" applyFont="1" applyFill="1" applyBorder="1" applyAlignment="1" applyProtection="1">
      <alignment horizontal="left"/>
      <protection locked="0"/>
    </xf>
    <xf numFmtId="0" fontId="8" fillId="2" borderId="17" xfId="0" applyFont="1" applyFill="1" applyBorder="1" applyAlignment="1" applyProtection="1">
      <alignment horizontal="left"/>
      <protection locked="0"/>
    </xf>
    <xf numFmtId="0" fontId="8" fillId="2" borderId="69" xfId="0" applyFont="1" applyFill="1" applyBorder="1" applyAlignment="1" applyProtection="1">
      <alignment horizontal="left"/>
      <protection locked="0"/>
    </xf>
    <xf numFmtId="0" fontId="41" fillId="10" borderId="16" xfId="0" applyFont="1" applyFill="1" applyBorder="1" applyProtection="1">
      <protection locked="0"/>
    </xf>
    <xf numFmtId="0" fontId="41" fillId="0" borderId="16" xfId="0" applyFont="1" applyBorder="1" applyProtection="1">
      <protection locked="0"/>
    </xf>
    <xf numFmtId="0" fontId="41" fillId="0" borderId="18" xfId="0" applyFont="1" applyBorder="1" applyProtection="1">
      <protection locked="0"/>
    </xf>
    <xf numFmtId="166" fontId="40" fillId="9" borderId="1" xfId="0" applyNumberFormat="1" applyFont="1" applyFill="1" applyBorder="1" applyAlignment="1" applyProtection="1">
      <alignment horizontal="right" wrapText="1"/>
      <protection locked="0"/>
    </xf>
    <xf numFmtId="1" fontId="40" fillId="9" borderId="1" xfId="0" applyNumberFormat="1" applyFont="1" applyFill="1" applyBorder="1" applyAlignment="1" applyProtection="1">
      <alignment horizontal="center" wrapText="1"/>
      <protection locked="0"/>
    </xf>
    <xf numFmtId="165" fontId="40" fillId="9" borderId="1" xfId="2" applyNumberFormat="1" applyFont="1" applyFill="1" applyBorder="1" applyAlignment="1" applyProtection="1">
      <alignment horizontal="right" wrapText="1"/>
      <protection locked="0"/>
    </xf>
    <xf numFmtId="1" fontId="8" fillId="9" borderId="1" xfId="0" applyNumberFormat="1" applyFont="1" applyFill="1" applyBorder="1" applyAlignment="1">
      <alignment horizontal="center"/>
    </xf>
    <xf numFmtId="165" fontId="41" fillId="10" borderId="1" xfId="2" applyNumberFormat="1" applyFont="1" applyFill="1" applyBorder="1" applyAlignment="1" applyProtection="1">
      <alignment horizontal="right" wrapText="1"/>
      <protection locked="0"/>
    </xf>
    <xf numFmtId="1" fontId="8" fillId="10" borderId="1" xfId="0" applyNumberFormat="1" applyFont="1" applyFill="1" applyBorder="1" applyAlignment="1">
      <alignment horizontal="center"/>
    </xf>
    <xf numFmtId="165" fontId="41" fillId="0" borderId="1" xfId="2" applyNumberFormat="1" applyFont="1" applyBorder="1" applyAlignment="1" applyProtection="1">
      <alignment horizontal="right" wrapText="1"/>
      <protection locked="0"/>
    </xf>
    <xf numFmtId="1" fontId="8" fillId="2" borderId="1" xfId="0" applyNumberFormat="1" applyFont="1" applyFill="1" applyBorder="1" applyAlignment="1">
      <alignment horizontal="center"/>
    </xf>
    <xf numFmtId="166" fontId="8" fillId="2" borderId="18" xfId="2" applyNumberFormat="1" applyFont="1" applyFill="1" applyBorder="1" applyAlignment="1" applyProtection="1">
      <alignment horizontal="right" wrapText="1"/>
      <protection locked="0"/>
    </xf>
    <xf numFmtId="166" fontId="8" fillId="4" borderId="18" xfId="2" applyNumberFormat="1" applyFont="1" applyFill="1" applyBorder="1" applyAlignment="1" applyProtection="1">
      <alignment horizontal="right" wrapText="1"/>
      <protection locked="0"/>
    </xf>
    <xf numFmtId="166" fontId="40" fillId="9" borderId="18" xfId="0" applyNumberFormat="1" applyFont="1" applyFill="1" applyBorder="1" applyAlignment="1" applyProtection="1">
      <alignment horizontal="right" wrapText="1"/>
      <protection locked="0"/>
    </xf>
    <xf numFmtId="166" fontId="41" fillId="10" borderId="18" xfId="2" applyNumberFormat="1" applyFont="1" applyFill="1" applyBorder="1" applyAlignment="1" applyProtection="1">
      <alignment horizontal="right" wrapText="1"/>
      <protection locked="0"/>
    </xf>
    <xf numFmtId="166" fontId="41" fillId="0" borderId="18" xfId="2" applyNumberFormat="1" applyFont="1" applyBorder="1" applyAlignment="1" applyProtection="1">
      <alignment horizontal="right" wrapText="1"/>
      <protection locked="0"/>
    </xf>
    <xf numFmtId="1" fontId="16" fillId="5" borderId="62" xfId="2" applyNumberFormat="1" applyFont="1" applyFill="1" applyBorder="1" applyAlignment="1">
      <alignment horizontal="center"/>
    </xf>
    <xf numFmtId="1" fontId="16" fillId="4" borderId="32" xfId="2" applyNumberFormat="1" applyFont="1" applyFill="1" applyBorder="1" applyAlignment="1">
      <alignment horizontal="center"/>
    </xf>
    <xf numFmtId="1" fontId="16" fillId="5" borderId="71" xfId="2" applyNumberFormat="1" applyFont="1" applyFill="1" applyBorder="1" applyAlignment="1">
      <alignment horizontal="center"/>
    </xf>
    <xf numFmtId="0" fontId="8" fillId="2" borderId="1" xfId="0" applyNumberFormat="1" applyFont="1" applyFill="1" applyBorder="1" applyAlignment="1" applyProtection="1">
      <alignment horizontal="center"/>
      <protection locked="0"/>
    </xf>
    <xf numFmtId="165" fontId="8" fillId="4" borderId="1" xfId="2" applyNumberFormat="1" applyFont="1" applyFill="1" applyBorder="1" applyAlignment="1">
      <alignment horizontal="right"/>
    </xf>
    <xf numFmtId="165" fontId="8" fillId="9" borderId="1" xfId="2" applyNumberFormat="1" applyFont="1" applyFill="1" applyBorder="1" applyAlignment="1" applyProtection="1">
      <protection locked="0"/>
    </xf>
    <xf numFmtId="165" fontId="8" fillId="9" borderId="1" xfId="2" applyNumberFormat="1" applyFont="1" applyFill="1" applyBorder="1" applyAlignment="1">
      <alignment horizontal="right"/>
    </xf>
    <xf numFmtId="165" fontId="8" fillId="0" borderId="13" xfId="2" applyNumberFormat="1" applyFont="1" applyBorder="1" applyAlignment="1" applyProtection="1">
      <alignment horizontal="center" wrapText="1"/>
      <protection locked="0"/>
    </xf>
    <xf numFmtId="1" fontId="8" fillId="0" borderId="13" xfId="0" applyNumberFormat="1" applyFont="1" applyBorder="1" applyAlignment="1">
      <alignment horizontal="center" wrapText="1"/>
    </xf>
    <xf numFmtId="1" fontId="8" fillId="0" borderId="3" xfId="0" applyNumberFormat="1" applyFont="1" applyBorder="1" applyAlignment="1" applyProtection="1">
      <alignment horizontal="center" wrapText="1"/>
    </xf>
    <xf numFmtId="1" fontId="2" fillId="2" borderId="3" xfId="1" quotePrefix="1" applyNumberFormat="1" applyFont="1" applyFill="1" applyBorder="1" applyAlignment="1" applyProtection="1">
      <alignment horizontal="center"/>
    </xf>
    <xf numFmtId="1" fontId="2" fillId="2" borderId="1" xfId="1" quotePrefix="1" applyNumberFormat="1" applyFont="1" applyFill="1" applyBorder="1" applyAlignment="1" applyProtection="1">
      <alignment horizontal="center"/>
    </xf>
    <xf numFmtId="1" fontId="8" fillId="10" borderId="11" xfId="1" quotePrefix="1" applyNumberFormat="1" applyFont="1" applyFill="1" applyBorder="1" applyAlignment="1" applyProtection="1">
      <alignment horizontal="center"/>
    </xf>
    <xf numFmtId="44" fontId="8" fillId="0" borderId="24" xfId="2" applyFont="1" applyBorder="1" applyAlignment="1">
      <alignment horizontal="center"/>
    </xf>
    <xf numFmtId="165" fontId="8" fillId="5" borderId="24" xfId="2" applyNumberFormat="1" applyFont="1" applyFill="1" applyBorder="1" applyAlignment="1">
      <alignment horizontal="center" wrapText="1"/>
    </xf>
    <xf numFmtId="165" fontId="8" fillId="5" borderId="13" xfId="2" applyNumberFormat="1" applyFont="1" applyFill="1" applyBorder="1" applyAlignment="1">
      <alignment horizontal="center" wrapText="1"/>
    </xf>
    <xf numFmtId="0" fontId="2" fillId="9" borderId="54" xfId="0" applyFont="1" applyFill="1" applyBorder="1" applyAlignment="1">
      <alignment horizontal="center" vertical="center" wrapText="1"/>
    </xf>
    <xf numFmtId="0" fontId="0" fillId="9" borderId="11" xfId="0" applyFill="1" applyBorder="1" applyAlignment="1">
      <alignment horizontal="center" vertical="center" wrapText="1"/>
    </xf>
    <xf numFmtId="0" fontId="0" fillId="9" borderId="34" xfId="0" applyFill="1" applyBorder="1" applyAlignment="1">
      <alignment horizontal="center" vertical="center" wrapText="1"/>
    </xf>
    <xf numFmtId="0" fontId="8" fillId="0" borderId="58" xfId="0" applyFont="1" applyFill="1" applyBorder="1" applyAlignment="1">
      <alignment horizontal="center"/>
    </xf>
    <xf numFmtId="165" fontId="8" fillId="2" borderId="36" xfId="2" applyNumberFormat="1" applyFont="1" applyFill="1" applyBorder="1" applyAlignment="1" applyProtection="1">
      <alignment horizontal="center"/>
      <protection locked="0"/>
    </xf>
    <xf numFmtId="1" fontId="2" fillId="2" borderId="15" xfId="1" quotePrefix="1" applyNumberFormat="1" applyFont="1" applyFill="1" applyBorder="1" applyAlignment="1" applyProtection="1">
      <alignment horizontal="center"/>
    </xf>
    <xf numFmtId="168" fontId="2" fillId="9" borderId="36" xfId="1" quotePrefix="1" applyNumberFormat="1" applyFont="1" applyFill="1" applyBorder="1" applyAlignment="1" applyProtection="1">
      <alignment horizontal="center"/>
    </xf>
    <xf numFmtId="0" fontId="8" fillId="2" borderId="36" xfId="2" applyNumberFormat="1" applyFont="1" applyFill="1" applyBorder="1" applyAlignment="1" applyProtection="1">
      <alignment horizontal="center"/>
      <protection locked="0"/>
    </xf>
    <xf numFmtId="0" fontId="2" fillId="2" borderId="37" xfId="0" applyFont="1" applyFill="1" applyBorder="1" applyAlignment="1" applyProtection="1">
      <alignment horizontal="center"/>
      <protection locked="0"/>
    </xf>
    <xf numFmtId="0" fontId="2" fillId="9" borderId="44" xfId="0" applyFont="1" applyFill="1" applyBorder="1" applyAlignment="1" applyProtection="1">
      <alignment horizontal="center"/>
      <protection locked="0"/>
    </xf>
    <xf numFmtId="165" fontId="8" fillId="10" borderId="1" xfId="2" applyNumberFormat="1" applyFont="1" applyFill="1" applyBorder="1" applyAlignment="1" applyProtection="1">
      <alignment horizontal="center"/>
      <protection locked="0"/>
    </xf>
    <xf numFmtId="1" fontId="8" fillId="10" borderId="1" xfId="1" quotePrefix="1" applyNumberFormat="1" applyFont="1" applyFill="1" applyBorder="1" applyAlignment="1" applyProtection="1">
      <alignment horizontal="center"/>
    </xf>
    <xf numFmtId="168" fontId="8" fillId="9" borderId="1" xfId="1" quotePrefix="1" applyNumberFormat="1" applyFont="1" applyFill="1" applyBorder="1" applyAlignment="1" applyProtection="1">
      <alignment horizontal="center"/>
    </xf>
    <xf numFmtId="0" fontId="2" fillId="9" borderId="1" xfId="0" applyFont="1" applyFill="1" applyBorder="1" applyAlignment="1" applyProtection="1">
      <alignment horizontal="center"/>
      <protection locked="0"/>
    </xf>
    <xf numFmtId="1" fontId="8" fillId="0" borderId="20" xfId="0" applyNumberFormat="1" applyFont="1" applyBorder="1" applyAlignment="1">
      <alignment horizontal="center" wrapText="1"/>
    </xf>
    <xf numFmtId="0" fontId="8" fillId="0" borderId="24" xfId="0" applyFont="1" applyBorder="1" applyAlignment="1" applyProtection="1">
      <alignment horizontal="center" wrapText="1"/>
      <protection locked="0"/>
    </xf>
    <xf numFmtId="1" fontId="8" fillId="4" borderId="1" xfId="2" applyNumberFormat="1" applyFont="1" applyFill="1" applyBorder="1" applyAlignment="1" applyProtection="1">
      <alignment horizontal="center"/>
      <protection locked="0"/>
    </xf>
    <xf numFmtId="165" fontId="8" fillId="5" borderId="18" xfId="2" applyNumberFormat="1" applyFont="1" applyFill="1" applyBorder="1" applyAlignment="1">
      <alignment horizontal="right"/>
    </xf>
    <xf numFmtId="1" fontId="16" fillId="5" borderId="60" xfId="2" applyNumberFormat="1" applyFont="1" applyFill="1" applyBorder="1" applyAlignment="1">
      <alignment horizontal="center"/>
    </xf>
    <xf numFmtId="1" fontId="2" fillId="15" borderId="44" xfId="0" applyNumberFormat="1" applyFont="1" applyFill="1" applyBorder="1" applyAlignment="1">
      <alignment horizontal="center"/>
    </xf>
    <xf numFmtId="0" fontId="10" fillId="10" borderId="3" xfId="0" applyFont="1" applyFill="1" applyBorder="1" applyAlignment="1" applyProtection="1">
      <alignment horizontal="left"/>
      <protection locked="0"/>
    </xf>
    <xf numFmtId="0" fontId="8" fillId="4" borderId="15" xfId="0" applyFont="1" applyFill="1" applyBorder="1" applyAlignment="1" applyProtection="1">
      <alignment horizontal="left"/>
      <protection locked="0"/>
    </xf>
    <xf numFmtId="164" fontId="8" fillId="4" borderId="15" xfId="2" applyNumberFormat="1" applyFont="1" applyFill="1" applyBorder="1" applyAlignment="1" applyProtection="1">
      <alignment horizontal="right"/>
      <protection locked="0"/>
    </xf>
    <xf numFmtId="166" fontId="8" fillId="4" borderId="15" xfId="2" applyNumberFormat="1" applyFont="1" applyFill="1" applyBorder="1" applyAlignment="1" applyProtection="1">
      <alignment horizontal="center"/>
      <protection locked="0"/>
    </xf>
    <xf numFmtId="172" fontId="8" fillId="4" borderId="15" xfId="2" applyNumberFormat="1" applyFont="1" applyFill="1" applyBorder="1" applyAlignment="1" applyProtection="1">
      <alignment horizontal="right"/>
      <protection locked="0"/>
    </xf>
    <xf numFmtId="0" fontId="8" fillId="4" borderId="15" xfId="2" applyNumberFormat="1" applyFont="1" applyFill="1" applyBorder="1" applyAlignment="1" applyProtection="1">
      <alignment horizontal="center"/>
      <protection locked="0"/>
    </xf>
    <xf numFmtId="0" fontId="8" fillId="4" borderId="15" xfId="0" applyFont="1" applyFill="1" applyBorder="1" applyAlignment="1" applyProtection="1">
      <alignment horizontal="center"/>
      <protection locked="0"/>
    </xf>
    <xf numFmtId="164" fontId="8" fillId="4" borderId="15" xfId="2" applyNumberFormat="1" applyFont="1" applyFill="1" applyBorder="1" applyAlignment="1">
      <alignment horizontal="right"/>
    </xf>
    <xf numFmtId="172" fontId="8" fillId="4" borderId="15" xfId="2" applyNumberFormat="1" applyFont="1" applyFill="1" applyBorder="1" applyAlignment="1">
      <alignment horizontal="right"/>
    </xf>
    <xf numFmtId="0" fontId="8" fillId="10" borderId="58" xfId="0" applyFont="1" applyFill="1" applyBorder="1" applyAlignment="1" applyProtection="1">
      <alignment horizontal="left"/>
      <protection locked="0"/>
    </xf>
    <xf numFmtId="0" fontId="8" fillId="2" borderId="58" xfId="0" applyFont="1" applyFill="1" applyBorder="1" applyAlignment="1" applyProtection="1">
      <alignment horizontal="left"/>
      <protection locked="0"/>
    </xf>
    <xf numFmtId="171" fontId="8" fillId="2" borderId="58" xfId="0" applyNumberFormat="1" applyFont="1" applyFill="1" applyBorder="1" applyAlignment="1">
      <alignment horizontal="right"/>
    </xf>
    <xf numFmtId="0" fontId="8" fillId="2" borderId="58" xfId="0" applyFont="1" applyFill="1" applyBorder="1" applyAlignment="1">
      <alignment horizontal="right"/>
    </xf>
    <xf numFmtId="166" fontId="8" fillId="2" borderId="58" xfId="2" applyNumberFormat="1" applyFont="1" applyFill="1" applyBorder="1" applyAlignment="1" applyProtection="1">
      <alignment horizontal="right"/>
      <protection locked="0"/>
    </xf>
    <xf numFmtId="168" fontId="8" fillId="2" borderId="58" xfId="1" quotePrefix="1" applyNumberFormat="1" applyFont="1" applyFill="1" applyBorder="1" applyAlignment="1">
      <alignment horizontal="center"/>
    </xf>
    <xf numFmtId="1" fontId="8" fillId="2" borderId="58" xfId="2" applyNumberFormat="1" applyFont="1" applyFill="1" applyBorder="1" applyAlignment="1" applyProtection="1">
      <alignment horizontal="center"/>
      <protection locked="0"/>
    </xf>
    <xf numFmtId="0" fontId="8" fillId="2" borderId="58" xfId="0" applyFont="1" applyFill="1" applyBorder="1" applyAlignment="1" applyProtection="1">
      <alignment horizontal="center"/>
      <protection locked="0"/>
    </xf>
    <xf numFmtId="44" fontId="8" fillId="10" borderId="58" xfId="2" applyFont="1" applyFill="1" applyBorder="1" applyAlignment="1" applyProtection="1">
      <alignment horizontal="center" wrapText="1"/>
      <protection locked="0"/>
    </xf>
    <xf numFmtId="166" fontId="8" fillId="10" borderId="58" xfId="2" applyNumberFormat="1" applyFont="1" applyFill="1" applyBorder="1" applyAlignment="1">
      <alignment horizontal="right"/>
    </xf>
    <xf numFmtId="1" fontId="16" fillId="10" borderId="58" xfId="2" applyNumberFormat="1" applyFont="1" applyFill="1" applyBorder="1" applyAlignment="1">
      <alignment horizontal="center"/>
    </xf>
    <xf numFmtId="164" fontId="8" fillId="2" borderId="2" xfId="0" applyNumberFormat="1" applyFont="1" applyFill="1" applyBorder="1" applyAlignment="1">
      <alignment horizontal="right"/>
    </xf>
    <xf numFmtId="0" fontId="8" fillId="2" borderId="2" xfId="0" applyFont="1" applyFill="1" applyBorder="1" applyAlignment="1">
      <alignment horizontal="center"/>
    </xf>
    <xf numFmtId="0" fontId="8" fillId="4" borderId="3" xfId="0" applyFont="1" applyFill="1" applyBorder="1" applyAlignment="1" applyProtection="1">
      <alignment horizontal="left"/>
      <protection locked="0"/>
    </xf>
    <xf numFmtId="164" fontId="8" fillId="4" borderId="3" xfId="2" applyNumberFormat="1" applyFont="1" applyFill="1" applyBorder="1" applyAlignment="1" applyProtection="1">
      <alignment horizontal="right"/>
      <protection locked="0"/>
    </xf>
    <xf numFmtId="166" fontId="8" fillId="4" borderId="3" xfId="2" applyNumberFormat="1" applyFont="1" applyFill="1" applyBorder="1" applyAlignment="1" applyProtection="1">
      <alignment horizontal="center"/>
      <protection locked="0"/>
    </xf>
    <xf numFmtId="172" fontId="8" fillId="4" borderId="3" xfId="2" applyNumberFormat="1" applyFont="1" applyFill="1" applyBorder="1" applyAlignment="1" applyProtection="1">
      <alignment horizontal="right"/>
      <protection locked="0"/>
    </xf>
    <xf numFmtId="1" fontId="8" fillId="4" borderId="3" xfId="1" quotePrefix="1" applyNumberFormat="1" applyFont="1" applyFill="1" applyBorder="1" applyAlignment="1">
      <alignment horizontal="center"/>
    </xf>
    <xf numFmtId="0" fontId="8" fillId="4" borderId="3" xfId="0" applyFont="1" applyFill="1" applyBorder="1" applyAlignment="1" applyProtection="1">
      <alignment horizontal="center"/>
      <protection locked="0"/>
    </xf>
    <xf numFmtId="164" fontId="8" fillId="9" borderId="3" xfId="2" applyNumberFormat="1" applyFont="1" applyFill="1" applyBorder="1" applyAlignment="1">
      <alignment horizontal="right"/>
    </xf>
    <xf numFmtId="172" fontId="8" fillId="10" borderId="2" xfId="2" applyNumberFormat="1" applyFont="1" applyFill="1" applyBorder="1" applyAlignment="1" applyProtection="1">
      <alignment horizontal="right"/>
      <protection locked="0"/>
    </xf>
    <xf numFmtId="1" fontId="8" fillId="10" borderId="2" xfId="1" quotePrefix="1" applyNumberFormat="1" applyFont="1" applyFill="1" applyBorder="1" applyAlignment="1">
      <alignment horizontal="center"/>
    </xf>
    <xf numFmtId="1" fontId="8" fillId="10" borderId="2" xfId="0" applyNumberFormat="1" applyFont="1" applyFill="1" applyBorder="1" applyAlignment="1">
      <alignment horizontal="center" wrapText="1"/>
    </xf>
    <xf numFmtId="0" fontId="8" fillId="10" borderId="2" xfId="2" applyNumberFormat="1" applyFont="1" applyFill="1" applyBorder="1" applyAlignment="1" applyProtection="1">
      <alignment horizontal="center"/>
      <protection locked="0"/>
    </xf>
    <xf numFmtId="0" fontId="8" fillId="10" borderId="2" xfId="0" applyFont="1" applyFill="1" applyBorder="1" applyAlignment="1" applyProtection="1">
      <alignment horizontal="center"/>
      <protection locked="0"/>
    </xf>
    <xf numFmtId="0" fontId="19" fillId="4" borderId="9" xfId="0" applyFont="1" applyFill="1" applyBorder="1" applyAlignment="1">
      <alignment horizontal="center" vertical="center" textRotation="90"/>
    </xf>
    <xf numFmtId="1" fontId="8" fillId="9" borderId="29" xfId="2" applyNumberFormat="1" applyFont="1" applyFill="1" applyBorder="1" applyAlignment="1">
      <alignment horizontal="center"/>
    </xf>
    <xf numFmtId="0" fontId="18" fillId="9" borderId="5" xfId="0" applyFont="1" applyFill="1" applyBorder="1" applyAlignment="1">
      <alignment vertical="center" textRotation="90"/>
    </xf>
    <xf numFmtId="1" fontId="16" fillId="4" borderId="29" xfId="2" applyNumberFormat="1" applyFont="1" applyFill="1" applyBorder="1" applyAlignment="1">
      <alignment horizontal="center"/>
    </xf>
    <xf numFmtId="0" fontId="18" fillId="9" borderId="6" xfId="0" applyFont="1" applyFill="1" applyBorder="1" applyAlignment="1">
      <alignment vertical="center" textRotation="90"/>
    </xf>
    <xf numFmtId="1" fontId="16" fillId="4" borderId="31" xfId="2" applyNumberFormat="1" applyFont="1" applyFill="1" applyBorder="1" applyAlignment="1">
      <alignment horizontal="center"/>
    </xf>
    <xf numFmtId="166" fontId="4" fillId="16" borderId="32" xfId="0" applyNumberFormat="1" applyFont="1" applyFill="1" applyBorder="1" applyAlignment="1">
      <alignment horizontal="center"/>
    </xf>
    <xf numFmtId="168" fontId="23" fillId="16" borderId="72" xfId="1" applyNumberFormat="1" applyFont="1" applyFill="1" applyBorder="1" applyAlignment="1">
      <alignment horizontal="center"/>
    </xf>
    <xf numFmtId="168" fontId="23" fillId="16" borderId="73" xfId="1" applyNumberFormat="1" applyFont="1" applyFill="1" applyBorder="1" applyAlignment="1">
      <alignment horizontal="center"/>
    </xf>
    <xf numFmtId="168" fontId="23" fillId="16" borderId="68" xfId="1" applyNumberFormat="1" applyFont="1" applyFill="1" applyBorder="1" applyAlignment="1">
      <alignment horizontal="center"/>
    </xf>
    <xf numFmtId="168" fontId="23" fillId="16" borderId="32" xfId="1" applyNumberFormat="1" applyFont="1" applyFill="1" applyBorder="1" applyAlignment="1">
      <alignment horizontal="center"/>
    </xf>
    <xf numFmtId="168" fontId="4" fillId="16" borderId="25" xfId="1" applyNumberFormat="1" applyFont="1" applyFill="1" applyBorder="1" applyAlignment="1">
      <alignment horizontal="center"/>
    </xf>
    <xf numFmtId="0" fontId="0" fillId="10" borderId="39" xfId="0" applyFill="1" applyBorder="1" applyAlignment="1">
      <alignment horizontal="center" vertical="center" wrapText="1"/>
    </xf>
    <xf numFmtId="0" fontId="2" fillId="9" borderId="41" xfId="0" applyFont="1" applyFill="1" applyBorder="1" applyAlignment="1">
      <alignment horizontal="center" vertical="center" wrapText="1"/>
    </xf>
    <xf numFmtId="44" fontId="8" fillId="0" borderId="23" xfId="2" applyFont="1" applyFill="1" applyBorder="1" applyAlignment="1">
      <alignment horizontal="center"/>
    </xf>
    <xf numFmtId="44" fontId="8" fillId="0" borderId="21" xfId="2" applyFont="1" applyFill="1" applyBorder="1" applyAlignment="1">
      <alignment horizontal="center"/>
    </xf>
    <xf numFmtId="0" fontId="6" fillId="10" borderId="44" xfId="0" applyFont="1" applyFill="1" applyBorder="1" applyAlignment="1" applyProtection="1">
      <alignment horizontal="left"/>
      <protection locked="0"/>
    </xf>
    <xf numFmtId="0" fontId="8" fillId="10" borderId="44" xfId="0" applyFont="1" applyFill="1" applyBorder="1" applyAlignment="1" applyProtection="1">
      <alignment horizontal="left"/>
      <protection locked="0"/>
    </xf>
    <xf numFmtId="0" fontId="6" fillId="10" borderId="2" xfId="0" applyFont="1" applyFill="1" applyBorder="1" applyAlignment="1" applyProtection="1">
      <alignment horizontal="left"/>
      <protection locked="0"/>
    </xf>
    <xf numFmtId="0" fontId="6" fillId="10" borderId="50" xfId="0" applyFont="1" applyFill="1" applyBorder="1" applyAlignment="1" applyProtection="1">
      <alignment horizontal="left"/>
      <protection locked="0"/>
    </xf>
    <xf numFmtId="0" fontId="6" fillId="2" borderId="58" xfId="0" applyFont="1" applyFill="1" applyBorder="1" applyAlignment="1" applyProtection="1">
      <alignment horizontal="left"/>
      <protection locked="0"/>
    </xf>
    <xf numFmtId="0" fontId="6" fillId="10" borderId="58" xfId="0" applyFont="1" applyFill="1" applyBorder="1" applyAlignment="1" applyProtection="1">
      <alignment horizontal="left"/>
      <protection locked="0"/>
    </xf>
    <xf numFmtId="0" fontId="45" fillId="0" borderId="1" xfId="0" applyFont="1" applyBorder="1" applyAlignment="1" applyProtection="1">
      <alignment horizontal="left"/>
      <protection locked="0"/>
    </xf>
    <xf numFmtId="166" fontId="46" fillId="4" borderId="1" xfId="2" applyNumberFormat="1" applyFont="1" applyFill="1" applyBorder="1" applyAlignment="1" applyProtection="1">
      <alignment horizontal="right"/>
      <protection locked="0"/>
    </xf>
    <xf numFmtId="0" fontId="0" fillId="10" borderId="46" xfId="0" applyFill="1" applyBorder="1" applyAlignment="1">
      <alignment horizontal="center" vertical="center" wrapText="1"/>
    </xf>
    <xf numFmtId="0" fontId="45" fillId="0" borderId="13" xfId="0" applyFont="1" applyBorder="1" applyAlignment="1" applyProtection="1">
      <alignment horizontal="left"/>
      <protection locked="0"/>
    </xf>
    <xf numFmtId="0" fontId="6" fillId="2" borderId="34" xfId="0" applyFont="1" applyFill="1" applyBorder="1" applyAlignment="1" applyProtection="1">
      <alignment horizontal="left"/>
      <protection locked="0"/>
    </xf>
    <xf numFmtId="0" fontId="45" fillId="0" borderId="2" xfId="0" applyFont="1" applyBorder="1" applyAlignment="1" applyProtection="1">
      <alignment horizontal="left"/>
      <protection locked="0"/>
    </xf>
    <xf numFmtId="44" fontId="8" fillId="2" borderId="39" xfId="2" applyFont="1" applyFill="1" applyBorder="1" applyAlignment="1">
      <alignment horizontal="center"/>
    </xf>
    <xf numFmtId="0" fontId="8" fillId="2" borderId="39" xfId="0" applyFont="1" applyFill="1" applyBorder="1" applyAlignment="1">
      <alignment horizontal="center"/>
    </xf>
    <xf numFmtId="165" fontId="8" fillId="2" borderId="11" xfId="2" applyNumberFormat="1" applyFont="1" applyFill="1" applyBorder="1" applyAlignment="1" applyProtection="1">
      <alignment horizontal="center"/>
      <protection locked="0"/>
    </xf>
    <xf numFmtId="0" fontId="8" fillId="2" borderId="34" xfId="0" applyFont="1" applyFill="1" applyBorder="1" applyAlignment="1" applyProtection="1">
      <alignment horizontal="center"/>
      <protection locked="0"/>
    </xf>
    <xf numFmtId="44" fontId="8" fillId="0" borderId="1" xfId="2" applyFont="1" applyBorder="1" applyAlignment="1" applyProtection="1">
      <alignment horizontal="center" wrapText="1"/>
      <protection locked="0"/>
    </xf>
    <xf numFmtId="44" fontId="8" fillId="9" borderId="1" xfId="2" applyFont="1" applyFill="1" applyBorder="1" applyAlignment="1" applyProtection="1">
      <alignment horizontal="center" wrapText="1"/>
      <protection locked="0"/>
    </xf>
    <xf numFmtId="44" fontId="8" fillId="0" borderId="13" xfId="2" applyFont="1" applyBorder="1" applyAlignment="1" applyProtection="1">
      <alignment horizontal="center" wrapText="1"/>
      <protection locked="0"/>
    </xf>
    <xf numFmtId="44" fontId="8" fillId="0" borderId="2" xfId="2" applyFont="1" applyBorder="1" applyAlignment="1" applyProtection="1">
      <alignment horizontal="center" wrapText="1"/>
      <protection locked="0"/>
    </xf>
    <xf numFmtId="0" fontId="27" fillId="0" borderId="13" xfId="0" applyFont="1" applyBorder="1" applyAlignment="1">
      <alignment horizontal="center"/>
    </xf>
    <xf numFmtId="0" fontId="28" fillId="0" borderId="28" xfId="0" applyFont="1" applyBorder="1" applyAlignment="1">
      <alignment horizontal="center"/>
    </xf>
    <xf numFmtId="0" fontId="2" fillId="16" borderId="5" xfId="0" applyFont="1" applyFill="1" applyBorder="1" applyAlignment="1">
      <alignment horizontal="center" wrapText="1"/>
    </xf>
    <xf numFmtId="0" fontId="2" fillId="16" borderId="29" xfId="0" applyFont="1" applyFill="1" applyBorder="1" applyAlignment="1">
      <alignment horizontal="center" wrapText="1"/>
    </xf>
    <xf numFmtId="0" fontId="24" fillId="16" borderId="29" xfId="0" applyFont="1" applyFill="1" applyBorder="1" applyAlignment="1">
      <alignment horizontal="center" wrapText="1"/>
    </xf>
    <xf numFmtId="166" fontId="4" fillId="16" borderId="29" xfId="0" applyNumberFormat="1" applyFont="1" applyFill="1" applyBorder="1" applyAlignment="1">
      <alignment horizontal="center"/>
    </xf>
    <xf numFmtId="168" fontId="23" fillId="16" borderId="29" xfId="1" applyNumberFormat="1" applyFont="1" applyFill="1" applyBorder="1" applyAlignment="1">
      <alignment horizontal="center"/>
    </xf>
    <xf numFmtId="168" fontId="4" fillId="16" borderId="29" xfId="1" applyNumberFormat="1" applyFont="1" applyFill="1" applyBorder="1" applyAlignment="1">
      <alignment horizontal="center"/>
    </xf>
    <xf numFmtId="0" fontId="0" fillId="16" borderId="29" xfId="0" applyFill="1" applyBorder="1" applyAlignment="1">
      <alignment horizontal="center"/>
    </xf>
    <xf numFmtId="0" fontId="0" fillId="16" borderId="2" xfId="0" applyFill="1" applyBorder="1"/>
    <xf numFmtId="0" fontId="0" fillId="16" borderId="25" xfId="0" applyFill="1" applyBorder="1" applyAlignment="1">
      <alignment horizontal="center"/>
    </xf>
    <xf numFmtId="0" fontId="2" fillId="15" borderId="40" xfId="0" applyFont="1" applyFill="1" applyBorder="1"/>
    <xf numFmtId="0" fontId="46" fillId="15" borderId="41" xfId="0" applyFont="1" applyFill="1" applyBorder="1"/>
    <xf numFmtId="0" fontId="4" fillId="15" borderId="42" xfId="0" applyFont="1" applyFill="1" applyBorder="1" applyAlignment="1">
      <alignment horizontal="center"/>
    </xf>
    <xf numFmtId="0" fontId="4" fillId="15" borderId="7" xfId="0" applyFont="1" applyFill="1" applyBorder="1"/>
    <xf numFmtId="167" fontId="2" fillId="15" borderId="32" xfId="0" applyNumberFormat="1" applyFont="1" applyFill="1" applyBorder="1" applyAlignment="1">
      <alignment horizontal="center"/>
    </xf>
    <xf numFmtId="0" fontId="4" fillId="15" borderId="7" xfId="0" applyFont="1" applyFill="1" applyBorder="1" applyAlignment="1">
      <alignment horizontal="left"/>
    </xf>
    <xf numFmtId="0" fontId="46" fillId="15" borderId="8" xfId="0" applyFont="1" applyFill="1" applyBorder="1"/>
    <xf numFmtId="0" fontId="46" fillId="15" borderId="34" xfId="0" applyFont="1" applyFill="1" applyBorder="1"/>
    <xf numFmtId="0" fontId="45" fillId="15" borderId="33" xfId="0" applyFont="1" applyFill="1" applyBorder="1" applyAlignment="1">
      <alignment horizontal="center"/>
    </xf>
    <xf numFmtId="0" fontId="43" fillId="0" borderId="0" xfId="0" applyFont="1" applyBorder="1" applyAlignment="1"/>
    <xf numFmtId="0" fontId="0" fillId="0" borderId="5" xfId="0" applyBorder="1"/>
    <xf numFmtId="0" fontId="0" fillId="0" borderId="29" xfId="0" applyFill="1" applyBorder="1"/>
    <xf numFmtId="167" fontId="0" fillId="0" borderId="29" xfId="0" applyNumberFormat="1" applyBorder="1" applyAlignment="1">
      <alignment horizontal="center"/>
    </xf>
    <xf numFmtId="0" fontId="0" fillId="9" borderId="5" xfId="0" applyFill="1" applyBorder="1"/>
    <xf numFmtId="0" fontId="0" fillId="9" borderId="29" xfId="0" applyFill="1" applyBorder="1" applyAlignment="1">
      <alignment horizontal="center"/>
    </xf>
    <xf numFmtId="0" fontId="0" fillId="0" borderId="2" xfId="0" applyBorder="1"/>
    <xf numFmtId="0" fontId="0" fillId="0" borderId="2" xfId="0" applyBorder="1" applyAlignment="1">
      <alignment horizontal="center"/>
    </xf>
    <xf numFmtId="167" fontId="0" fillId="0" borderId="25" xfId="0" applyNumberFormat="1" applyBorder="1" applyAlignment="1">
      <alignment horizontal="center"/>
    </xf>
    <xf numFmtId="0" fontId="14" fillId="17" borderId="0" xfId="0" applyFont="1" applyFill="1" applyBorder="1"/>
    <xf numFmtId="0" fontId="14" fillId="17" borderId="41" xfId="0" applyFont="1" applyFill="1" applyBorder="1"/>
    <xf numFmtId="0" fontId="13" fillId="10" borderId="36" xfId="0" applyFont="1" applyFill="1" applyBorder="1" applyAlignment="1" applyProtection="1">
      <alignment horizontal="left"/>
      <protection locked="0"/>
    </xf>
    <xf numFmtId="165" fontId="8" fillId="5" borderId="3" xfId="2" applyNumberFormat="1" applyFont="1" applyFill="1" applyBorder="1" applyAlignment="1">
      <alignment horizontal="center"/>
    </xf>
    <xf numFmtId="165" fontId="8" fillId="11" borderId="3" xfId="2" applyNumberFormat="1" applyFont="1" applyFill="1" applyBorder="1" applyAlignment="1">
      <alignment horizontal="center"/>
    </xf>
    <xf numFmtId="165" fontId="8" fillId="11" borderId="11" xfId="2" applyNumberFormat="1" applyFont="1" applyFill="1" applyBorder="1" applyAlignment="1">
      <alignment horizontal="center"/>
    </xf>
    <xf numFmtId="1" fontId="16" fillId="11" borderId="27" xfId="2" applyNumberFormat="1" applyFont="1" applyFill="1" applyBorder="1" applyAlignment="1">
      <alignment horizontal="center"/>
    </xf>
    <xf numFmtId="165" fontId="38" fillId="0" borderId="0" xfId="2" applyNumberFormat="1" applyFont="1" applyBorder="1" applyAlignment="1">
      <alignment horizontal="center"/>
    </xf>
    <xf numFmtId="0" fontId="38" fillId="2" borderId="0" xfId="0" applyFont="1" applyFill="1" applyBorder="1" applyAlignment="1">
      <alignment horizontal="center"/>
    </xf>
    <xf numFmtId="165" fontId="8" fillId="5" borderId="12" xfId="2" applyNumberFormat="1" applyFont="1" applyFill="1" applyBorder="1" applyAlignment="1">
      <alignment horizontal="center" wrapText="1"/>
    </xf>
    <xf numFmtId="165" fontId="2" fillId="5" borderId="9" xfId="2" applyNumberFormat="1" applyFont="1" applyFill="1" applyBorder="1" applyAlignment="1">
      <alignment horizontal="center"/>
    </xf>
    <xf numFmtId="165" fontId="2" fillId="5" borderId="1" xfId="2" applyNumberFormat="1" applyFont="1" applyFill="1" applyBorder="1" applyAlignment="1">
      <alignment horizontal="center"/>
    </xf>
    <xf numFmtId="165" fontId="8" fillId="5" borderId="1" xfId="2" applyNumberFormat="1" applyFont="1" applyFill="1" applyBorder="1" applyAlignment="1">
      <alignment horizontal="center"/>
    </xf>
    <xf numFmtId="165" fontId="2" fillId="5" borderId="43" xfId="2" applyNumberFormat="1" applyFont="1" applyFill="1" applyBorder="1" applyAlignment="1">
      <alignment horizontal="center"/>
    </xf>
    <xf numFmtId="165" fontId="8" fillId="5" borderId="36" xfId="2" applyNumberFormat="1" applyFont="1" applyFill="1" applyBorder="1" applyAlignment="1">
      <alignment horizontal="center"/>
    </xf>
    <xf numFmtId="1" fontId="16" fillId="5" borderId="45" xfId="2" applyNumberFormat="1" applyFont="1" applyFill="1" applyBorder="1" applyAlignment="1">
      <alignment horizontal="center"/>
    </xf>
    <xf numFmtId="165" fontId="8" fillId="11" borderId="1" xfId="2" applyNumberFormat="1" applyFont="1" applyFill="1" applyBorder="1" applyAlignment="1">
      <alignment horizontal="center"/>
    </xf>
    <xf numFmtId="1" fontId="16" fillId="11" borderId="29" xfId="2" applyNumberFormat="1" applyFont="1" applyFill="1" applyBorder="1" applyAlignment="1">
      <alignment horizontal="center"/>
    </xf>
    <xf numFmtId="165" fontId="2" fillId="11" borderId="1" xfId="2" applyNumberFormat="1" applyFont="1" applyFill="1" applyBorder="1" applyAlignment="1">
      <alignment horizontal="center"/>
    </xf>
    <xf numFmtId="165" fontId="8" fillId="11" borderId="10" xfId="2" applyNumberFormat="1" applyFont="1" applyFill="1" applyBorder="1" applyAlignment="1">
      <alignment horizontal="center"/>
    </xf>
    <xf numFmtId="1" fontId="8" fillId="11" borderId="27" xfId="2" applyNumberFormat="1" applyFont="1" applyFill="1" applyBorder="1" applyAlignment="1">
      <alignment horizontal="center"/>
    </xf>
    <xf numFmtId="44" fontId="8" fillId="0" borderId="1" xfId="2" applyFont="1" applyFill="1" applyBorder="1" applyAlignment="1">
      <alignment horizontal="right"/>
    </xf>
    <xf numFmtId="0" fontId="8" fillId="0" borderId="1" xfId="0" applyFont="1" applyFill="1" applyBorder="1" applyAlignment="1">
      <alignment horizontal="center"/>
    </xf>
    <xf numFmtId="44" fontId="8" fillId="4" borderId="1" xfId="2" applyFont="1" applyFill="1" applyBorder="1" applyAlignment="1" applyProtection="1">
      <alignment horizontal="right"/>
      <protection locked="0"/>
    </xf>
    <xf numFmtId="166" fontId="8" fillId="4" borderId="1" xfId="2" applyNumberFormat="1" applyFont="1" applyFill="1" applyBorder="1" applyAlignment="1" applyProtection="1">
      <alignment horizontal="right"/>
      <protection locked="0"/>
    </xf>
    <xf numFmtId="165" fontId="8" fillId="4" borderId="1" xfId="2" applyNumberFormat="1" applyFont="1" applyFill="1" applyBorder="1" applyAlignment="1" applyProtection="1">
      <alignment horizontal="right"/>
      <protection locked="0"/>
    </xf>
    <xf numFmtId="44" fontId="8" fillId="2" borderId="1" xfId="2" applyFont="1" applyFill="1" applyBorder="1" applyAlignment="1">
      <alignment horizontal="center"/>
    </xf>
    <xf numFmtId="165" fontId="2" fillId="4" borderId="1" xfId="2" applyNumberFormat="1" applyFont="1" applyFill="1" applyBorder="1" applyAlignment="1">
      <alignment horizontal="center"/>
    </xf>
    <xf numFmtId="165" fontId="8" fillId="4" borderId="1" xfId="2" applyNumberFormat="1" applyFont="1" applyFill="1" applyBorder="1" applyAlignment="1">
      <alignment horizontal="center"/>
    </xf>
    <xf numFmtId="1" fontId="16" fillId="4" borderId="1" xfId="2" applyNumberFormat="1" applyFont="1" applyFill="1" applyBorder="1" applyAlignment="1">
      <alignment horizontal="center"/>
    </xf>
    <xf numFmtId="0" fontId="19" fillId="4" borderId="40" xfId="0" applyFont="1" applyFill="1" applyBorder="1" applyAlignment="1">
      <alignment horizontal="center" vertical="center" textRotation="90"/>
    </xf>
    <xf numFmtId="0" fontId="6" fillId="0" borderId="7" xfId="0" applyFont="1" applyFill="1" applyBorder="1" applyAlignment="1" applyProtection="1">
      <alignment horizontal="left"/>
      <protection locked="0"/>
    </xf>
    <xf numFmtId="0" fontId="6" fillId="4" borderId="1" xfId="0" applyFont="1" applyFill="1" applyBorder="1" applyAlignment="1" applyProtection="1">
      <alignment horizontal="left"/>
      <protection locked="0"/>
    </xf>
    <xf numFmtId="164" fontId="8" fillId="10" borderId="1" xfId="2" applyNumberFormat="1" applyFont="1" applyFill="1" applyBorder="1" applyAlignment="1" applyProtection="1">
      <alignment horizontal="center" wrapText="1"/>
      <protection locked="0"/>
    </xf>
    <xf numFmtId="164" fontId="8" fillId="10" borderId="2" xfId="2" applyNumberFormat="1" applyFont="1" applyFill="1" applyBorder="1" applyAlignment="1" applyProtection="1">
      <alignment horizontal="center" wrapText="1"/>
      <protection locked="0"/>
    </xf>
    <xf numFmtId="164" fontId="8" fillId="10" borderId="1" xfId="2" applyNumberFormat="1" applyFont="1" applyFill="1" applyBorder="1" applyAlignment="1" applyProtection="1">
      <alignment horizontal="center"/>
      <protection locked="0"/>
    </xf>
    <xf numFmtId="0" fontId="58" fillId="0" borderId="0" xfId="0" applyFont="1"/>
    <xf numFmtId="0" fontId="0" fillId="0" borderId="5" xfId="0" applyBorder="1" applyAlignment="1"/>
    <xf numFmtId="0" fontId="2" fillId="2" borderId="0" xfId="0" applyFont="1" applyFill="1" applyBorder="1" applyAlignment="1">
      <alignment horizontal="center" vertical="center" wrapText="1"/>
    </xf>
    <xf numFmtId="0" fontId="0" fillId="0" borderId="40" xfId="0" applyBorder="1" applyAlignment="1"/>
    <xf numFmtId="0" fontId="0" fillId="0" borderId="7" xfId="0" applyBorder="1" applyAlignment="1"/>
    <xf numFmtId="0" fontId="0" fillId="0" borderId="8" xfId="0" applyBorder="1" applyAlignment="1"/>
    <xf numFmtId="0" fontId="2" fillId="0" borderId="40" xfId="0" applyFont="1" applyBorder="1" applyAlignment="1">
      <alignment horizontal="center" vertical="center"/>
    </xf>
    <xf numFmtId="0" fontId="1" fillId="0" borderId="7" xfId="0" applyFont="1" applyBorder="1" applyAlignment="1">
      <alignment horizontal="center" vertical="center"/>
    </xf>
    <xf numFmtId="0" fontId="0" fillId="0" borderId="0" xfId="0" applyAlignment="1">
      <alignment horizontal="center"/>
    </xf>
    <xf numFmtId="0" fontId="8" fillId="2" borderId="0" xfId="0" applyFont="1" applyFill="1" applyBorder="1" applyAlignment="1">
      <alignment horizontal="center"/>
    </xf>
    <xf numFmtId="0" fontId="2" fillId="10" borderId="47" xfId="0" applyFont="1" applyFill="1" applyBorder="1" applyAlignment="1">
      <alignment horizontal="center" vertical="center" wrapText="1"/>
    </xf>
    <xf numFmtId="0" fontId="2" fillId="10" borderId="57" xfId="0" applyFont="1" applyFill="1" applyBorder="1" applyAlignment="1">
      <alignment horizontal="center" vertical="center" wrapText="1"/>
    </xf>
    <xf numFmtId="0" fontId="15" fillId="0" borderId="0" xfId="0" applyFont="1" applyAlignment="1"/>
    <xf numFmtId="0" fontId="13" fillId="17" borderId="40" xfId="0" applyFont="1" applyFill="1" applyBorder="1"/>
    <xf numFmtId="0" fontId="13" fillId="17" borderId="41" xfId="0" applyFont="1" applyFill="1" applyBorder="1"/>
    <xf numFmtId="0" fontId="13" fillId="17" borderId="7" xfId="0" applyFont="1" applyFill="1" applyBorder="1"/>
    <xf numFmtId="0" fontId="13" fillId="17" borderId="0" xfId="0" applyFont="1" applyFill="1" applyBorder="1"/>
    <xf numFmtId="9" fontId="0" fillId="0" borderId="0" xfId="0" applyNumberFormat="1"/>
    <xf numFmtId="4" fontId="0" fillId="0" borderId="0" xfId="0" applyNumberFormat="1"/>
    <xf numFmtId="171" fontId="0" fillId="0" borderId="0" xfId="0" applyNumberFormat="1"/>
    <xf numFmtId="9" fontId="0" fillId="12" borderId="1" xfId="4" applyFont="1" applyFill="1" applyBorder="1"/>
    <xf numFmtId="4" fontId="13" fillId="12" borderId="46" xfId="2" applyNumberFormat="1" applyFont="1" applyFill="1" applyBorder="1" applyAlignment="1" applyProtection="1">
      <alignment horizontal="center"/>
      <protection locked="0"/>
    </xf>
    <xf numFmtId="4" fontId="0" fillId="18" borderId="0" xfId="0" applyNumberFormat="1" applyFill="1"/>
    <xf numFmtId="0" fontId="10" fillId="18" borderId="41" xfId="0" applyFont="1" applyFill="1" applyBorder="1" applyAlignment="1">
      <alignment wrapText="1"/>
    </xf>
    <xf numFmtId="0" fontId="1" fillId="18" borderId="34" xfId="0" applyFont="1" applyFill="1" applyBorder="1" applyAlignment="1">
      <alignment wrapText="1"/>
    </xf>
    <xf numFmtId="0" fontId="10" fillId="18" borderId="52" xfId="0" applyFont="1" applyFill="1" applyBorder="1"/>
    <xf numFmtId="0" fontId="10" fillId="18" borderId="48" xfId="0" applyFont="1" applyFill="1" applyBorder="1"/>
    <xf numFmtId="173" fontId="10" fillId="18" borderId="49" xfId="0" applyNumberFormat="1" applyFont="1" applyFill="1" applyBorder="1" applyAlignment="1">
      <alignment horizontal="right"/>
    </xf>
    <xf numFmtId="44" fontId="60" fillId="12" borderId="47" xfId="2" applyFont="1" applyFill="1" applyBorder="1" applyAlignment="1" applyProtection="1">
      <alignment horizontal="center"/>
      <protection locked="0"/>
    </xf>
    <xf numFmtId="44" fontId="60" fillId="12" borderId="46" xfId="2" applyFont="1" applyFill="1" applyBorder="1" applyAlignment="1" applyProtection="1">
      <alignment horizontal="center"/>
      <protection locked="0"/>
    </xf>
    <xf numFmtId="164" fontId="60" fillId="12" borderId="46" xfId="2" applyNumberFormat="1" applyFont="1" applyFill="1" applyBorder="1" applyAlignment="1" applyProtection="1">
      <alignment horizontal="center"/>
      <protection locked="0"/>
    </xf>
    <xf numFmtId="1" fontId="40" fillId="12" borderId="1" xfId="0" applyNumberFormat="1" applyFont="1" applyFill="1" applyBorder="1" applyAlignment="1">
      <alignment horizontal="center"/>
    </xf>
    <xf numFmtId="166" fontId="40" fillId="0" borderId="0" xfId="2" applyNumberFormat="1" applyFont="1" applyFill="1" applyBorder="1" applyAlignment="1">
      <alignment horizontal="right"/>
    </xf>
    <xf numFmtId="1" fontId="62" fillId="0" borderId="0" xfId="2" applyNumberFormat="1" applyFont="1" applyFill="1" applyBorder="1" applyAlignment="1">
      <alignment horizontal="center"/>
    </xf>
    <xf numFmtId="0" fontId="0" fillId="16" borderId="1" xfId="0" applyFill="1" applyBorder="1" applyAlignment="1"/>
    <xf numFmtId="0" fontId="0" fillId="16" borderId="29" xfId="0" applyFill="1" applyBorder="1" applyAlignment="1"/>
    <xf numFmtId="0" fontId="0" fillId="0" borderId="1" xfId="0" applyFont="1" applyBorder="1"/>
    <xf numFmtId="168" fontId="10" fillId="20" borderId="47" xfId="1" applyNumberFormat="1" applyFont="1" applyFill="1" applyBorder="1" applyAlignment="1" applyProtection="1">
      <alignment vertical="center"/>
      <protection locked="0"/>
    </xf>
    <xf numFmtId="166" fontId="8" fillId="20" borderId="1" xfId="2" applyNumberFormat="1" applyFont="1" applyFill="1" applyBorder="1" applyAlignment="1" applyProtection="1">
      <alignment horizontal="right"/>
      <protection locked="0"/>
    </xf>
    <xf numFmtId="1" fontId="8" fillId="20" borderId="1" xfId="2" applyNumberFormat="1" applyFont="1" applyFill="1" applyBorder="1" applyAlignment="1" applyProtection="1">
      <alignment horizontal="center"/>
      <protection locked="0"/>
    </xf>
    <xf numFmtId="44" fontId="60" fillId="20" borderId="47" xfId="2" applyFont="1" applyFill="1" applyBorder="1" applyAlignment="1" applyProtection="1">
      <alignment horizontal="center"/>
      <protection locked="0"/>
    </xf>
    <xf numFmtId="44" fontId="60" fillId="20" borderId="46" xfId="2" applyFont="1" applyFill="1" applyBorder="1" applyAlignment="1" applyProtection="1">
      <alignment horizontal="center"/>
      <protection locked="0"/>
    </xf>
    <xf numFmtId="0" fontId="2" fillId="10" borderId="54" xfId="0" applyFont="1" applyFill="1" applyBorder="1" applyAlignment="1">
      <alignment horizontal="center" vertical="center" wrapText="1"/>
    </xf>
    <xf numFmtId="0" fontId="2" fillId="10" borderId="3" xfId="0" applyFont="1" applyFill="1" applyBorder="1" applyAlignment="1">
      <alignment horizontal="center" vertical="center" wrapText="1"/>
    </xf>
    <xf numFmtId="44" fontId="60" fillId="20" borderId="55" xfId="2" applyFont="1" applyFill="1" applyBorder="1" applyAlignment="1" applyProtection="1">
      <alignment horizontal="center"/>
      <protection locked="0"/>
    </xf>
    <xf numFmtId="0" fontId="60" fillId="20" borderId="40" xfId="0" applyFont="1" applyFill="1" applyBorder="1"/>
    <xf numFmtId="0" fontId="60" fillId="20" borderId="41" xfId="0" applyFont="1" applyFill="1" applyBorder="1"/>
    <xf numFmtId="0" fontId="61" fillId="20" borderId="41" xfId="0" applyFont="1" applyFill="1" applyBorder="1"/>
    <xf numFmtId="0" fontId="60" fillId="20" borderId="7" xfId="0" applyFont="1" applyFill="1" applyBorder="1"/>
    <xf numFmtId="0" fontId="60" fillId="20" borderId="0" xfId="0" applyFont="1" applyFill="1" applyBorder="1"/>
    <xf numFmtId="0" fontId="61" fillId="20" borderId="0" xfId="0" applyFont="1" applyFill="1" applyBorder="1"/>
    <xf numFmtId="0" fontId="60" fillId="20" borderId="8" xfId="0" applyFont="1" applyFill="1" applyBorder="1"/>
    <xf numFmtId="0" fontId="60" fillId="20" borderId="34" xfId="0" applyFont="1" applyFill="1" applyBorder="1"/>
    <xf numFmtId="0" fontId="61" fillId="20" borderId="34" xfId="0" applyFont="1" applyFill="1" applyBorder="1"/>
    <xf numFmtId="0" fontId="38" fillId="0" borderId="0" xfId="0" applyFont="1"/>
    <xf numFmtId="0" fontId="0" fillId="0" borderId="32" xfId="0" applyBorder="1"/>
    <xf numFmtId="0" fontId="0" fillId="0" borderId="5" xfId="0" applyFont="1" applyBorder="1"/>
    <xf numFmtId="0" fontId="44" fillId="0" borderId="12" xfId="0" applyFont="1" applyBorder="1"/>
    <xf numFmtId="0" fontId="44" fillId="0" borderId="5" xfId="0" applyFont="1" applyBorder="1"/>
    <xf numFmtId="0" fontId="44" fillId="0" borderId="14" xfId="0" applyFont="1" applyBorder="1"/>
    <xf numFmtId="0" fontId="30" fillId="0" borderId="13" xfId="0" applyFont="1" applyBorder="1"/>
    <xf numFmtId="0" fontId="30" fillId="0" borderId="1" xfId="0" applyFont="1" applyBorder="1"/>
    <xf numFmtId="0" fontId="30" fillId="0" borderId="2" xfId="0" applyFont="1" applyBorder="1"/>
    <xf numFmtId="0" fontId="0" fillId="12" borderId="2" xfId="0" applyFill="1" applyBorder="1" applyAlignment="1">
      <alignment horizontal="center"/>
    </xf>
    <xf numFmtId="0" fontId="0" fillId="12" borderId="25" xfId="0" applyFill="1" applyBorder="1" applyAlignment="1">
      <alignment horizontal="center"/>
    </xf>
    <xf numFmtId="0" fontId="0" fillId="12" borderId="55" xfId="0" applyFill="1" applyBorder="1"/>
    <xf numFmtId="10" fontId="0" fillId="12" borderId="46" xfId="0" applyNumberFormat="1" applyFont="1" applyFill="1" applyBorder="1" applyAlignment="1">
      <alignment horizontal="center"/>
    </xf>
    <xf numFmtId="0" fontId="38" fillId="20" borderId="5" xfId="0" applyFont="1" applyFill="1" applyBorder="1"/>
    <xf numFmtId="0" fontId="38" fillId="20" borderId="1" xfId="0" applyFont="1" applyFill="1" applyBorder="1" applyAlignment="1">
      <alignment horizontal="center"/>
    </xf>
    <xf numFmtId="0" fontId="0" fillId="20" borderId="1" xfId="0" applyFont="1" applyFill="1" applyBorder="1"/>
    <xf numFmtId="0" fontId="0" fillId="20" borderId="29" xfId="0" applyFont="1" applyFill="1" applyBorder="1"/>
    <xf numFmtId="1" fontId="40" fillId="20" borderId="1" xfId="1" quotePrefix="1" applyNumberFormat="1" applyFont="1" applyFill="1" applyBorder="1" applyAlignment="1">
      <alignment horizontal="center"/>
    </xf>
    <xf numFmtId="0" fontId="38" fillId="20" borderId="29" xfId="0" applyFont="1" applyFill="1" applyBorder="1" applyAlignment="1">
      <alignment horizontal="center"/>
    </xf>
    <xf numFmtId="0" fontId="59" fillId="20" borderId="52" xfId="0" applyFont="1" applyFill="1" applyBorder="1" applyAlignment="1">
      <alignment horizontal="center"/>
    </xf>
    <xf numFmtId="0" fontId="38" fillId="20" borderId="9" xfId="0" applyFont="1" applyFill="1" applyBorder="1"/>
    <xf numFmtId="0" fontId="38" fillId="20" borderId="3" xfId="0" applyFont="1" applyFill="1" applyBorder="1" applyAlignment="1">
      <alignment horizontal="center"/>
    </xf>
    <xf numFmtId="0" fontId="0" fillId="20" borderId="3" xfId="0" applyFont="1" applyFill="1" applyBorder="1"/>
    <xf numFmtId="0" fontId="0" fillId="20" borderId="26" xfId="0" applyFont="1" applyFill="1" applyBorder="1"/>
    <xf numFmtId="9" fontId="66" fillId="23" borderId="64" xfId="0" applyNumberFormat="1" applyFont="1" applyFill="1" applyBorder="1" applyAlignment="1">
      <alignment horizontal="center"/>
    </xf>
    <xf numFmtId="0" fontId="60" fillId="20" borderId="7" xfId="0" applyFont="1" applyFill="1" applyBorder="1" applyAlignment="1">
      <alignment vertical="center"/>
    </xf>
    <xf numFmtId="44" fontId="60" fillId="12" borderId="46" xfId="2" applyFont="1" applyFill="1" applyBorder="1" applyAlignment="1" applyProtection="1">
      <alignment horizontal="center" vertical="center"/>
      <protection locked="0"/>
    </xf>
    <xf numFmtId="10" fontId="0" fillId="12" borderId="46" xfId="0" applyNumberFormat="1" applyFont="1" applyFill="1" applyBorder="1" applyAlignment="1">
      <alignment horizontal="center" vertical="center"/>
    </xf>
    <xf numFmtId="170" fontId="2" fillId="16" borderId="44" xfId="2" applyNumberFormat="1" applyFont="1" applyFill="1" applyBorder="1"/>
    <xf numFmtId="170" fontId="2" fillId="16" borderId="36" xfId="2" applyNumberFormat="1" applyFont="1" applyFill="1" applyBorder="1" applyAlignment="1">
      <alignment horizontal="center"/>
    </xf>
    <xf numFmtId="172" fontId="8" fillId="10" borderId="1" xfId="2" applyNumberFormat="1" applyFont="1" applyFill="1" applyBorder="1" applyAlignment="1" applyProtection="1">
      <alignment wrapText="1"/>
      <protection locked="0"/>
    </xf>
    <xf numFmtId="172" fontId="44" fillId="0" borderId="1" xfId="0" applyNumberFormat="1" applyFont="1" applyBorder="1" applyAlignment="1">
      <alignment horizontal="right"/>
    </xf>
    <xf numFmtId="0" fontId="44" fillId="0" borderId="1" xfId="0" applyFont="1" applyBorder="1" applyAlignment="1">
      <alignment horizontal="center"/>
    </xf>
    <xf numFmtId="1" fontId="16" fillId="5" borderId="1" xfId="2" applyNumberFormat="1" applyFont="1" applyFill="1" applyBorder="1" applyAlignment="1">
      <alignment horizontal="center"/>
    </xf>
    <xf numFmtId="0" fontId="44" fillId="0" borderId="1" xfId="0" applyFont="1" applyBorder="1"/>
    <xf numFmtId="172" fontId="8" fillId="10" borderId="1" xfId="2" applyNumberFormat="1" applyFont="1" applyFill="1" applyBorder="1" applyAlignment="1" applyProtection="1">
      <alignment horizontal="center" wrapText="1"/>
      <protection locked="0"/>
    </xf>
    <xf numFmtId="172" fontId="8" fillId="10" borderId="1" xfId="2" applyNumberFormat="1" applyFont="1" applyFill="1" applyBorder="1" applyAlignment="1" applyProtection="1">
      <alignment horizontal="left" vertical="center" wrapText="1"/>
      <protection locked="0"/>
    </xf>
    <xf numFmtId="172" fontId="8" fillId="9" borderId="3" xfId="2" applyNumberFormat="1" applyFont="1" applyFill="1" applyBorder="1" applyAlignment="1">
      <alignment horizontal="right"/>
    </xf>
    <xf numFmtId="172" fontId="8" fillId="10" borderId="58" xfId="2" applyNumberFormat="1" applyFont="1" applyFill="1" applyBorder="1" applyAlignment="1" applyProtection="1">
      <alignment horizontal="center" wrapText="1"/>
      <protection locked="0"/>
    </xf>
    <xf numFmtId="172" fontId="8" fillId="9" borderId="3" xfId="0" applyNumberFormat="1" applyFont="1" applyFill="1" applyBorder="1" applyAlignment="1">
      <alignment horizontal="right"/>
    </xf>
    <xf numFmtId="0" fontId="52" fillId="0" borderId="0" xfId="0" applyFont="1" applyBorder="1" applyAlignment="1"/>
    <xf numFmtId="0" fontId="57" fillId="0" borderId="0" xfId="0" applyFont="1" applyBorder="1" applyAlignment="1">
      <alignment horizontal="left" vertical="center"/>
    </xf>
    <xf numFmtId="165" fontId="8" fillId="0" borderId="1" xfId="2" applyNumberFormat="1" applyFont="1" applyBorder="1" applyAlignment="1" applyProtection="1">
      <alignment horizontal="center" wrapText="1"/>
      <protection locked="0"/>
    </xf>
    <xf numFmtId="173" fontId="10" fillId="20" borderId="55" xfId="0" applyNumberFormat="1" applyFont="1" applyFill="1" applyBorder="1" applyAlignment="1">
      <alignment horizontal="right"/>
    </xf>
    <xf numFmtId="1" fontId="10" fillId="20" borderId="49" xfId="1" applyNumberFormat="1" applyFont="1" applyFill="1" applyBorder="1" applyAlignment="1" applyProtection="1">
      <alignment horizontal="center" vertical="center"/>
      <protection locked="0"/>
    </xf>
    <xf numFmtId="172" fontId="30" fillId="0" borderId="13" xfId="0" applyNumberFormat="1" applyFont="1" applyBorder="1" applyAlignment="1">
      <alignment horizontal="left" vertical="center"/>
    </xf>
    <xf numFmtId="172" fontId="30" fillId="0" borderId="1" xfId="0" applyNumberFormat="1" applyFont="1" applyBorder="1" applyAlignment="1">
      <alignment horizontal="left" vertical="center"/>
    </xf>
    <xf numFmtId="172" fontId="30" fillId="0" borderId="2" xfId="0" applyNumberFormat="1" applyFont="1" applyBorder="1" applyAlignment="1">
      <alignment horizontal="left" vertical="center"/>
    </xf>
    <xf numFmtId="172" fontId="30" fillId="22" borderId="13" xfId="0" applyNumberFormat="1" applyFont="1" applyFill="1" applyBorder="1" applyAlignment="1">
      <alignment horizontal="left" vertical="center"/>
    </xf>
    <xf numFmtId="172" fontId="30" fillId="22" borderId="1" xfId="0" applyNumberFormat="1" applyFont="1" applyFill="1" applyBorder="1" applyAlignment="1">
      <alignment horizontal="left" vertical="center"/>
    </xf>
    <xf numFmtId="172" fontId="30" fillId="22" borderId="2" xfId="0" applyNumberFormat="1" applyFont="1" applyFill="1" applyBorder="1" applyAlignment="1">
      <alignment horizontal="left" vertical="center"/>
    </xf>
    <xf numFmtId="172" fontId="6" fillId="2" borderId="1" xfId="2" applyNumberFormat="1" applyFont="1" applyFill="1" applyBorder="1" applyAlignment="1" applyProtection="1">
      <alignment horizontal="left"/>
      <protection locked="0"/>
    </xf>
    <xf numFmtId="172" fontId="46" fillId="0" borderId="1" xfId="0" applyNumberFormat="1" applyFont="1" applyBorder="1" applyAlignment="1">
      <alignment horizontal="left"/>
    </xf>
    <xf numFmtId="172" fontId="46" fillId="0" borderId="2" xfId="0" applyNumberFormat="1" applyFont="1" applyBorder="1" applyAlignment="1">
      <alignment horizontal="left"/>
    </xf>
    <xf numFmtId="172" fontId="46" fillId="0" borderId="13" xfId="0" applyNumberFormat="1" applyFont="1" applyBorder="1" applyAlignment="1">
      <alignment horizontal="left"/>
    </xf>
    <xf numFmtId="0" fontId="43" fillId="0" borderId="8" xfId="0" applyFont="1" applyBorder="1" applyAlignment="1">
      <alignment horizontal="center" vertical="center"/>
    </xf>
    <xf numFmtId="0" fontId="43" fillId="0" borderId="34" xfId="0" applyFont="1" applyBorder="1" applyAlignment="1">
      <alignment horizontal="center" vertical="center"/>
    </xf>
    <xf numFmtId="0" fontId="45" fillId="0" borderId="0" xfId="0" applyFont="1"/>
    <xf numFmtId="0" fontId="45" fillId="0" borderId="0" xfId="0" applyFont="1" applyAlignment="1">
      <alignment horizontal="center"/>
    </xf>
    <xf numFmtId="0" fontId="44" fillId="0" borderId="19" xfId="0" applyFont="1" applyFill="1" applyBorder="1"/>
    <xf numFmtId="0" fontId="0" fillId="0" borderId="37" xfId="0" applyFont="1" applyBorder="1"/>
    <xf numFmtId="0" fontId="0" fillId="0" borderId="35" xfId="0" applyFont="1" applyBorder="1"/>
    <xf numFmtId="0" fontId="0" fillId="0" borderId="44" xfId="0" applyFont="1" applyBorder="1"/>
    <xf numFmtId="0" fontId="44" fillId="0" borderId="35" xfId="0" applyFont="1" applyFill="1" applyBorder="1"/>
    <xf numFmtId="0" fontId="44" fillId="0" borderId="16" xfId="0" applyFont="1" applyFill="1" applyBorder="1"/>
    <xf numFmtId="0" fontId="0" fillId="0" borderId="22" xfId="0" applyFont="1" applyBorder="1"/>
    <xf numFmtId="172" fontId="68" fillId="22" borderId="1" xfId="0" applyNumberFormat="1" applyFont="1" applyFill="1" applyBorder="1" applyAlignment="1">
      <alignment horizontal="left" vertical="center"/>
    </xf>
    <xf numFmtId="0" fontId="44" fillId="0" borderId="6" xfId="0" applyFont="1" applyBorder="1"/>
    <xf numFmtId="0" fontId="30" fillId="0" borderId="15" xfId="0" applyFont="1" applyBorder="1"/>
    <xf numFmtId="172" fontId="46" fillId="0" borderId="15" xfId="0" applyNumberFormat="1" applyFont="1" applyBorder="1" applyAlignment="1">
      <alignment horizontal="left"/>
    </xf>
    <xf numFmtId="172" fontId="30" fillId="0" borderId="15" xfId="0" applyNumberFormat="1" applyFont="1" applyBorder="1" applyAlignment="1">
      <alignment horizontal="left" vertical="center"/>
    </xf>
    <xf numFmtId="172" fontId="30" fillId="22" borderId="15" xfId="0" applyNumberFormat="1" applyFont="1" applyFill="1" applyBorder="1" applyAlignment="1">
      <alignment horizontal="left" vertical="center"/>
    </xf>
    <xf numFmtId="0" fontId="44" fillId="0" borderId="9" xfId="0" applyFont="1" applyBorder="1"/>
    <xf numFmtId="0" fontId="30" fillId="0" borderId="3" xfId="0" applyFont="1" applyBorder="1"/>
    <xf numFmtId="172" fontId="46" fillId="0" borderId="3" xfId="0" applyNumberFormat="1" applyFont="1" applyBorder="1" applyAlignment="1">
      <alignment horizontal="left"/>
    </xf>
    <xf numFmtId="172" fontId="30" fillId="0" borderId="3" xfId="0" applyNumberFormat="1" applyFont="1" applyBorder="1" applyAlignment="1">
      <alignment horizontal="left" vertical="center"/>
    </xf>
    <xf numFmtId="172" fontId="30" fillId="22" borderId="3" xfId="0" applyNumberFormat="1" applyFont="1" applyFill="1" applyBorder="1" applyAlignment="1">
      <alignment horizontal="left" vertical="center"/>
    </xf>
    <xf numFmtId="0" fontId="40" fillId="12" borderId="1" xfId="2" applyNumberFormat="1" applyFont="1" applyFill="1" applyBorder="1" applyAlignment="1" applyProtection="1">
      <alignment horizontal="center"/>
      <protection locked="0"/>
    </xf>
    <xf numFmtId="0" fontId="10" fillId="20" borderId="40" xfId="0" applyFont="1" applyFill="1" applyBorder="1"/>
    <xf numFmtId="0" fontId="10" fillId="20" borderId="41" xfId="0" applyFont="1" applyFill="1" applyBorder="1"/>
    <xf numFmtId="44" fontId="10" fillId="20" borderId="47" xfId="2" applyFont="1" applyFill="1" applyBorder="1"/>
    <xf numFmtId="0" fontId="10" fillId="20" borderId="7" xfId="0" applyFont="1" applyFill="1" applyBorder="1"/>
    <xf numFmtId="0" fontId="10" fillId="20" borderId="0" xfId="0" applyFont="1" applyFill="1" applyBorder="1"/>
    <xf numFmtId="44" fontId="10" fillId="20" borderId="46" xfId="2" applyFont="1" applyFill="1" applyBorder="1"/>
    <xf numFmtId="0" fontId="10" fillId="20" borderId="8" xfId="0" applyFont="1" applyFill="1" applyBorder="1"/>
    <xf numFmtId="0" fontId="10" fillId="20" borderId="34" xfId="0" applyFont="1" applyFill="1" applyBorder="1"/>
    <xf numFmtId="44" fontId="10" fillId="20" borderId="55" xfId="2" applyFont="1" applyFill="1" applyBorder="1" applyAlignment="1">
      <alignment horizontal="right"/>
    </xf>
    <xf numFmtId="0" fontId="14" fillId="20" borderId="41" xfId="0" applyFont="1" applyFill="1" applyBorder="1"/>
    <xf numFmtId="44" fontId="8" fillId="20" borderId="47" xfId="2" applyFont="1" applyFill="1" applyBorder="1" applyAlignment="1" applyProtection="1">
      <alignment horizontal="center"/>
      <protection locked="0"/>
    </xf>
    <xf numFmtId="0" fontId="14" fillId="20" borderId="0" xfId="0" applyFont="1" applyFill="1" applyBorder="1"/>
    <xf numFmtId="44" fontId="8" fillId="20" borderId="46" xfId="2" applyFont="1" applyFill="1" applyBorder="1" applyAlignment="1" applyProtection="1">
      <alignment horizontal="center"/>
      <protection locked="0"/>
    </xf>
    <xf numFmtId="0" fontId="14" fillId="20" borderId="34" xfId="0" applyFont="1" applyFill="1" applyBorder="1"/>
    <xf numFmtId="0" fontId="8" fillId="20" borderId="1" xfId="0" applyFont="1" applyFill="1" applyBorder="1" applyAlignment="1" applyProtection="1">
      <alignment horizontal="left"/>
      <protection locked="0"/>
    </xf>
    <xf numFmtId="171" fontId="8" fillId="20" borderId="1" xfId="0" applyNumberFormat="1" applyFont="1" applyFill="1" applyBorder="1" applyAlignment="1">
      <alignment horizontal="right"/>
    </xf>
    <xf numFmtId="1" fontId="8" fillId="20" borderId="1" xfId="0" applyNumberFormat="1" applyFont="1" applyFill="1" applyBorder="1" applyAlignment="1">
      <alignment horizontal="center"/>
    </xf>
    <xf numFmtId="172" fontId="8" fillId="20" borderId="1" xfId="2" applyNumberFormat="1" applyFont="1" applyFill="1" applyBorder="1" applyAlignment="1" applyProtection="1">
      <alignment wrapText="1"/>
      <protection locked="0"/>
    </xf>
    <xf numFmtId="1" fontId="8" fillId="20" borderId="1" xfId="1" quotePrefix="1" applyNumberFormat="1" applyFont="1" applyFill="1" applyBorder="1" applyAlignment="1">
      <alignment horizontal="center"/>
    </xf>
    <xf numFmtId="0" fontId="8" fillId="20" borderId="1" xfId="0" applyFont="1" applyFill="1" applyBorder="1" applyAlignment="1" applyProtection="1">
      <alignment horizontal="center"/>
      <protection locked="0"/>
    </xf>
    <xf numFmtId="44" fontId="8" fillId="20" borderId="1" xfId="2" applyFont="1" applyFill="1" applyBorder="1" applyAlignment="1" applyProtection="1">
      <alignment horizontal="center" wrapText="1"/>
      <protection locked="0"/>
    </xf>
    <xf numFmtId="172" fontId="8" fillId="20" borderId="1" xfId="2" applyNumberFormat="1" applyFont="1" applyFill="1" applyBorder="1" applyAlignment="1" applyProtection="1">
      <alignment horizontal="center" wrapText="1"/>
      <protection locked="0"/>
    </xf>
    <xf numFmtId="166" fontId="8" fillId="20" borderId="1" xfId="2" applyNumberFormat="1" applyFont="1" applyFill="1" applyBorder="1" applyAlignment="1">
      <alignment horizontal="right"/>
    </xf>
    <xf numFmtId="1" fontId="16" fillId="20" borderId="1" xfId="2" applyNumberFormat="1" applyFont="1" applyFill="1" applyBorder="1" applyAlignment="1">
      <alignment horizontal="center"/>
    </xf>
    <xf numFmtId="9" fontId="10" fillId="20" borderId="41" xfId="4" applyFont="1" applyFill="1" applyBorder="1" applyAlignment="1">
      <alignment horizontal="center"/>
    </xf>
    <xf numFmtId="9" fontId="10" fillId="20" borderId="0" xfId="4" applyFont="1" applyFill="1" applyBorder="1" applyAlignment="1">
      <alignment horizontal="center"/>
    </xf>
    <xf numFmtId="9" fontId="10" fillId="20" borderId="34" xfId="4" applyFont="1" applyFill="1" applyBorder="1" applyAlignment="1">
      <alignment horizontal="center"/>
    </xf>
    <xf numFmtId="0" fontId="21" fillId="20" borderId="34" xfId="0" applyFont="1" applyFill="1" applyBorder="1" applyAlignment="1">
      <alignment horizontal="center"/>
    </xf>
    <xf numFmtId="44" fontId="8" fillId="20" borderId="55" xfId="2" applyFont="1" applyFill="1" applyBorder="1" applyAlignment="1" applyProtection="1">
      <alignment horizontal="center"/>
      <protection locked="0"/>
    </xf>
    <xf numFmtId="44" fontId="10" fillId="20" borderId="46" xfId="2" applyFont="1" applyFill="1" applyBorder="1" applyProtection="1"/>
    <xf numFmtId="0" fontId="21" fillId="20" borderId="33" xfId="0" applyFont="1" applyFill="1" applyBorder="1" applyAlignment="1">
      <alignment horizontal="center"/>
    </xf>
    <xf numFmtId="0" fontId="2" fillId="20" borderId="55" xfId="0" applyFont="1" applyFill="1" applyBorder="1" applyAlignment="1">
      <alignment horizontal="center"/>
    </xf>
    <xf numFmtId="172" fontId="45" fillId="0" borderId="0" xfId="0" applyNumberFormat="1" applyFont="1" applyAlignment="1">
      <alignment horizontal="right"/>
    </xf>
    <xf numFmtId="164" fontId="46" fillId="0" borderId="13" xfId="0" applyNumberFormat="1" applyFont="1" applyBorder="1" applyAlignment="1">
      <alignment horizontal="left"/>
    </xf>
    <xf numFmtId="164" fontId="6" fillId="2" borderId="1" xfId="2" applyNumberFormat="1" applyFont="1" applyFill="1" applyBorder="1" applyAlignment="1" applyProtection="1">
      <alignment horizontal="left"/>
      <protection locked="0"/>
    </xf>
    <xf numFmtId="164" fontId="46" fillId="0" borderId="1" xfId="0" applyNumberFormat="1" applyFont="1" applyBorder="1" applyAlignment="1">
      <alignment horizontal="left"/>
    </xf>
    <xf numFmtId="164" fontId="46" fillId="0" borderId="3" xfId="0" applyNumberFormat="1" applyFont="1" applyBorder="1" applyAlignment="1">
      <alignment horizontal="left"/>
    </xf>
    <xf numFmtId="164" fontId="46" fillId="0" borderId="2" xfId="0" applyNumberFormat="1" applyFont="1" applyBorder="1" applyAlignment="1">
      <alignment horizontal="left"/>
    </xf>
    <xf numFmtId="172" fontId="46" fillId="0" borderId="1" xfId="0" applyNumberFormat="1" applyFont="1" applyBorder="1" applyAlignment="1">
      <alignment horizontal="center"/>
    </xf>
    <xf numFmtId="0" fontId="0" fillId="20" borderId="1" xfId="0" applyFill="1" applyBorder="1"/>
    <xf numFmtId="175" fontId="47" fillId="16" borderId="9" xfId="2" applyNumberFormat="1" applyFont="1" applyFill="1" applyBorder="1" applyAlignment="1">
      <alignment horizontal="center"/>
    </xf>
    <xf numFmtId="175" fontId="71" fillId="9" borderId="37" xfId="0" applyNumberFormat="1" applyFont="1" applyFill="1" applyBorder="1" applyAlignment="1">
      <alignment horizontal="center" wrapText="1"/>
    </xf>
    <xf numFmtId="175" fontId="71" fillId="16" borderId="15" xfId="0" applyNumberFormat="1" applyFont="1" applyFill="1" applyBorder="1" applyAlignment="1">
      <alignment horizontal="center" wrapText="1"/>
    </xf>
    <xf numFmtId="175" fontId="47" fillId="9" borderId="21" xfId="0" applyNumberFormat="1" applyFont="1" applyFill="1" applyBorder="1" applyAlignment="1">
      <alignment horizontal="center"/>
    </xf>
    <xf numFmtId="175" fontId="47" fillId="9" borderId="2" xfId="0" applyNumberFormat="1" applyFont="1" applyFill="1" applyBorder="1" applyAlignment="1">
      <alignment horizontal="center"/>
    </xf>
    <xf numFmtId="175" fontId="47" fillId="9" borderId="9" xfId="2" applyNumberFormat="1" applyFont="1" applyFill="1" applyBorder="1" applyAlignment="1">
      <alignment horizontal="center"/>
    </xf>
    <xf numFmtId="175" fontId="47" fillId="9" borderId="44" xfId="0" applyNumberFormat="1" applyFont="1" applyFill="1" applyBorder="1" applyAlignment="1">
      <alignment horizontal="center"/>
    </xf>
    <xf numFmtId="175" fontId="47" fillId="9" borderId="36" xfId="0" applyNumberFormat="1" applyFont="1" applyFill="1" applyBorder="1" applyAlignment="1">
      <alignment horizontal="center"/>
    </xf>
    <xf numFmtId="175" fontId="47" fillId="9" borderId="22" xfId="2" applyNumberFormat="1" applyFont="1" applyFill="1" applyBorder="1" applyAlignment="1">
      <alignment horizontal="center"/>
    </xf>
    <xf numFmtId="175" fontId="47" fillId="9" borderId="3" xfId="2" applyNumberFormat="1" applyFont="1" applyFill="1" applyBorder="1" applyAlignment="1">
      <alignment horizontal="center"/>
    </xf>
    <xf numFmtId="175" fontId="71" fillId="9" borderId="22" xfId="2" applyNumberFormat="1" applyFont="1" applyFill="1" applyBorder="1" applyAlignment="1">
      <alignment horizontal="center"/>
    </xf>
    <xf numFmtId="175" fontId="71" fillId="9" borderId="3" xfId="2" applyNumberFormat="1" applyFont="1" applyFill="1" applyBorder="1" applyAlignment="1">
      <alignment horizontal="center"/>
    </xf>
    <xf numFmtId="175" fontId="47" fillId="16" borderId="3" xfId="2" applyNumberFormat="1" applyFont="1" applyFill="1" applyBorder="1" applyAlignment="1">
      <alignment horizontal="center"/>
    </xf>
    <xf numFmtId="175" fontId="47" fillId="9" borderId="24" xfId="2" applyNumberFormat="1" applyFont="1" applyFill="1" applyBorder="1" applyAlignment="1">
      <alignment horizontal="center"/>
    </xf>
    <xf numFmtId="175" fontId="47" fillId="9" borderId="13" xfId="2" applyNumberFormat="1" applyFont="1" applyFill="1" applyBorder="1" applyAlignment="1">
      <alignment horizontal="center"/>
    </xf>
    <xf numFmtId="175" fontId="71" fillId="9" borderId="23" xfId="2" applyNumberFormat="1" applyFont="1" applyFill="1" applyBorder="1" applyAlignment="1">
      <alignment horizontal="center"/>
    </xf>
    <xf numFmtId="175" fontId="71" fillId="9" borderId="1" xfId="2" applyNumberFormat="1" applyFont="1" applyFill="1" applyBorder="1" applyAlignment="1">
      <alignment horizontal="center"/>
    </xf>
    <xf numFmtId="175" fontId="47" fillId="9" borderId="23" xfId="2" applyNumberFormat="1" applyFont="1" applyFill="1" applyBorder="1" applyAlignment="1">
      <alignment horizontal="center"/>
    </xf>
    <xf numFmtId="175" fontId="47" fillId="9" borderId="1" xfId="2" applyNumberFormat="1" applyFont="1" applyFill="1" applyBorder="1" applyAlignment="1">
      <alignment horizontal="center"/>
    </xf>
    <xf numFmtId="175" fontId="47" fillId="9" borderId="37" xfId="2" applyNumberFormat="1" applyFont="1" applyFill="1" applyBorder="1" applyAlignment="1">
      <alignment horizontal="center"/>
    </xf>
    <xf numFmtId="175" fontId="47" fillId="16" borderId="15" xfId="2" applyNumberFormat="1" applyFont="1" applyFill="1" applyBorder="1" applyAlignment="1">
      <alignment horizontal="center"/>
    </xf>
    <xf numFmtId="175" fontId="47" fillId="9" borderId="5" xfId="2" applyNumberFormat="1" applyFont="1" applyFill="1" applyBorder="1" applyAlignment="1">
      <alignment horizontal="center"/>
    </xf>
    <xf numFmtId="175" fontId="47" fillId="9" borderId="15" xfId="2" applyNumberFormat="1" applyFont="1" applyFill="1" applyBorder="1" applyAlignment="1">
      <alignment horizontal="center"/>
    </xf>
    <xf numFmtId="175" fontId="47" fillId="9" borderId="44" xfId="2" applyNumberFormat="1" applyFont="1" applyFill="1" applyBorder="1" applyAlignment="1">
      <alignment horizontal="center"/>
    </xf>
    <xf numFmtId="175" fontId="71" fillId="9" borderId="24" xfId="2" applyNumberFormat="1" applyFont="1" applyFill="1" applyBorder="1" applyAlignment="1">
      <alignment horizontal="center"/>
    </xf>
    <xf numFmtId="175" fontId="71" fillId="9" borderId="44" xfId="2" applyNumberFormat="1" applyFont="1" applyFill="1" applyBorder="1" applyAlignment="1">
      <alignment horizontal="center"/>
    </xf>
    <xf numFmtId="175" fontId="71" fillId="16" borderId="3" xfId="2" applyNumberFormat="1" applyFont="1" applyFill="1" applyBorder="1" applyAlignment="1">
      <alignment horizontal="center"/>
    </xf>
    <xf numFmtId="175" fontId="6" fillId="9" borderId="9" xfId="2" applyNumberFormat="1" applyFont="1" applyFill="1" applyBorder="1" applyAlignment="1">
      <alignment horizontal="center"/>
    </xf>
    <xf numFmtId="174" fontId="72" fillId="9" borderId="1" xfId="2" applyNumberFormat="1" applyFont="1" applyFill="1" applyBorder="1" applyAlignment="1">
      <alignment horizontal="center" wrapText="1"/>
    </xf>
    <xf numFmtId="175" fontId="6" fillId="9" borderId="5" xfId="2" applyNumberFormat="1" applyFont="1" applyFill="1" applyBorder="1" applyAlignment="1">
      <alignment horizontal="center"/>
    </xf>
    <xf numFmtId="175" fontId="71" fillId="9" borderId="1" xfId="0" applyNumberFormat="1" applyFont="1" applyFill="1" applyBorder="1" applyAlignment="1">
      <alignment horizontal="center" wrapText="1"/>
    </xf>
    <xf numFmtId="175" fontId="47" fillId="16" borderId="5" xfId="2" applyNumberFormat="1" applyFont="1" applyFill="1" applyBorder="1" applyAlignment="1">
      <alignment horizontal="center"/>
    </xf>
    <xf numFmtId="175" fontId="47" fillId="9" borderId="1" xfId="0" applyNumberFormat="1" applyFont="1" applyFill="1" applyBorder="1" applyAlignment="1">
      <alignment horizontal="center"/>
    </xf>
    <xf numFmtId="175" fontId="47" fillId="9" borderId="5" xfId="0" applyNumberFormat="1" applyFont="1" applyFill="1" applyBorder="1" applyAlignment="1">
      <alignment horizontal="center"/>
    </xf>
    <xf numFmtId="175" fontId="47" fillId="16" borderId="1" xfId="2" applyNumberFormat="1" applyFont="1" applyFill="1" applyBorder="1" applyAlignment="1">
      <alignment horizontal="center"/>
    </xf>
    <xf numFmtId="175" fontId="6" fillId="9" borderId="1" xfId="2" applyNumberFormat="1" applyFont="1" applyFill="1" applyBorder="1" applyAlignment="1">
      <alignment horizontal="center"/>
    </xf>
    <xf numFmtId="175" fontId="8" fillId="9" borderId="1" xfId="2" applyNumberFormat="1" applyFont="1" applyFill="1" applyBorder="1" applyAlignment="1">
      <alignment horizontal="center"/>
    </xf>
    <xf numFmtId="175" fontId="10" fillId="9" borderId="5" xfId="0" applyNumberFormat="1" applyFont="1" applyFill="1" applyBorder="1" applyAlignment="1">
      <alignment horizontal="center" wrapText="1"/>
    </xf>
    <xf numFmtId="175" fontId="9" fillId="9" borderId="1" xfId="0" applyNumberFormat="1" applyFont="1" applyFill="1" applyBorder="1" applyAlignment="1">
      <alignment horizontal="center"/>
    </xf>
    <xf numFmtId="175" fontId="10" fillId="9" borderId="1" xfId="0" applyNumberFormat="1" applyFont="1" applyFill="1" applyBorder="1" applyAlignment="1">
      <alignment horizontal="center" wrapText="1"/>
    </xf>
    <xf numFmtId="175" fontId="72" fillId="9" borderId="1" xfId="0" applyNumberFormat="1" applyFont="1" applyFill="1" applyBorder="1" applyAlignment="1">
      <alignment horizontal="center" wrapText="1"/>
    </xf>
    <xf numFmtId="175" fontId="47" fillId="16" borderId="14" xfId="2" applyNumberFormat="1" applyFont="1" applyFill="1" applyBorder="1" applyAlignment="1">
      <alignment horizontal="center"/>
    </xf>
    <xf numFmtId="175" fontId="47" fillId="9" borderId="2" xfId="2" applyNumberFormat="1" applyFont="1" applyFill="1" applyBorder="1" applyAlignment="1">
      <alignment horizontal="center"/>
    </xf>
    <xf numFmtId="175" fontId="71" fillId="9" borderId="2" xfId="2" applyNumberFormat="1" applyFont="1" applyFill="1" applyBorder="1" applyAlignment="1">
      <alignment horizontal="center"/>
    </xf>
    <xf numFmtId="0" fontId="40" fillId="12" borderId="1" xfId="0" applyFont="1" applyFill="1" applyBorder="1" applyAlignment="1" applyProtection="1">
      <alignment horizontal="center"/>
      <protection locked="0"/>
    </xf>
    <xf numFmtId="0" fontId="40" fillId="12" borderId="5" xfId="0" applyFont="1" applyFill="1" applyBorder="1" applyAlignment="1" applyProtection="1">
      <alignment horizontal="center"/>
      <protection locked="0"/>
    </xf>
    <xf numFmtId="166" fontId="40" fillId="12" borderId="1" xfId="2" applyNumberFormat="1" applyFont="1" applyFill="1" applyBorder="1" applyAlignment="1" applyProtection="1">
      <alignment horizontal="center"/>
      <protection locked="0"/>
    </xf>
    <xf numFmtId="164" fontId="46" fillId="0" borderId="15" xfId="0" applyNumberFormat="1" applyFont="1" applyBorder="1" applyAlignment="1">
      <alignment horizontal="left"/>
    </xf>
    <xf numFmtId="0" fontId="69" fillId="20" borderId="48" xfId="0" applyFont="1" applyFill="1" applyBorder="1" applyAlignment="1">
      <alignment horizontal="center"/>
    </xf>
    <xf numFmtId="0" fontId="38" fillId="20" borderId="64" xfId="0" applyFont="1" applyFill="1" applyBorder="1" applyAlignment="1"/>
    <xf numFmtId="0" fontId="0" fillId="18" borderId="64" xfId="0" applyFont="1" applyFill="1" applyBorder="1"/>
    <xf numFmtId="172" fontId="30" fillId="10" borderId="1" xfId="0" applyNumberFormat="1" applyFont="1" applyFill="1" applyBorder="1" applyAlignment="1">
      <alignment horizontal="left" vertical="center"/>
    </xf>
    <xf numFmtId="175" fontId="72" fillId="9" borderId="1" xfId="2" applyNumberFormat="1" applyFont="1" applyFill="1" applyBorder="1" applyAlignment="1">
      <alignment horizontal="center" wrapText="1"/>
    </xf>
    <xf numFmtId="175" fontId="71" fillId="9" borderId="1" xfId="2" applyNumberFormat="1" applyFont="1" applyFill="1" applyBorder="1" applyAlignment="1">
      <alignment horizontal="center" wrapText="1"/>
    </xf>
    <xf numFmtId="175" fontId="47" fillId="16" borderId="1" xfId="2" applyNumberFormat="1" applyFont="1" applyFill="1" applyBorder="1" applyAlignment="1">
      <alignment horizontal="center" wrapText="1"/>
    </xf>
    <xf numFmtId="175" fontId="6" fillId="24" borderId="1" xfId="2" applyNumberFormat="1" applyFont="1" applyFill="1" applyBorder="1" applyAlignment="1">
      <alignment horizontal="center"/>
    </xf>
    <xf numFmtId="175" fontId="71" fillId="16" borderId="1" xfId="2" applyNumberFormat="1" applyFont="1" applyFill="1" applyBorder="1" applyAlignment="1">
      <alignment horizontal="center"/>
    </xf>
    <xf numFmtId="175" fontId="47" fillId="24" borderId="36" xfId="2" applyNumberFormat="1" applyFont="1" applyFill="1" applyBorder="1" applyAlignment="1">
      <alignment horizontal="center"/>
    </xf>
    <xf numFmtId="175" fontId="71" fillId="24" borderId="13" xfId="2" applyNumberFormat="1" applyFont="1" applyFill="1" applyBorder="1" applyAlignment="1">
      <alignment horizontal="center"/>
    </xf>
    <xf numFmtId="0" fontId="18" fillId="9" borderId="32" xfId="0" applyFont="1" applyFill="1" applyBorder="1" applyAlignment="1">
      <alignment vertical="center" textRotation="90"/>
    </xf>
    <xf numFmtId="0" fontId="0" fillId="12" borderId="14" xfId="0" applyFont="1" applyFill="1" applyBorder="1"/>
    <xf numFmtId="0" fontId="43" fillId="12" borderId="48" xfId="0" applyFont="1" applyFill="1" applyBorder="1" applyAlignment="1">
      <alignment horizontal="center" vertical="center"/>
    </xf>
    <xf numFmtId="0" fontId="43" fillId="12" borderId="49" xfId="0" applyFont="1" applyFill="1" applyBorder="1" applyAlignment="1">
      <alignment horizontal="center" vertical="center"/>
    </xf>
    <xf numFmtId="1" fontId="30" fillId="0" borderId="18" xfId="0" applyNumberFormat="1" applyFont="1" applyBorder="1" applyAlignment="1">
      <alignment horizontal="center" vertical="center"/>
    </xf>
    <xf numFmtId="1" fontId="30" fillId="0" borderId="62" xfId="0" applyNumberFormat="1" applyFont="1" applyBorder="1" applyAlignment="1">
      <alignment horizontal="center" vertical="center"/>
    </xf>
    <xf numFmtId="0" fontId="43" fillId="21" borderId="52" xfId="0" applyFont="1" applyFill="1" applyBorder="1" applyAlignment="1">
      <alignment horizontal="center" vertical="center"/>
    </xf>
    <xf numFmtId="0" fontId="43" fillId="21" borderId="48" xfId="0" applyFont="1" applyFill="1" applyBorder="1" applyAlignment="1">
      <alignment horizontal="center" vertical="center"/>
    </xf>
    <xf numFmtId="0" fontId="43" fillId="0" borderId="52" xfId="0" applyFont="1" applyBorder="1" applyAlignment="1">
      <alignment horizontal="center" vertical="center"/>
    </xf>
    <xf numFmtId="0" fontId="43" fillId="0" borderId="48" xfId="0" applyFont="1" applyBorder="1" applyAlignment="1">
      <alignment horizontal="center" vertical="center"/>
    </xf>
    <xf numFmtId="0" fontId="43" fillId="0" borderId="49" xfId="0" applyFont="1" applyBorder="1" applyAlignment="1">
      <alignment horizontal="center" vertical="center"/>
    </xf>
    <xf numFmtId="0" fontId="0" fillId="0" borderId="3" xfId="0" applyFont="1" applyBorder="1" applyAlignment="1">
      <alignment horizontal="left" vertical="center"/>
    </xf>
    <xf numFmtId="0" fontId="38" fillId="12" borderId="7" xfId="0" applyFont="1" applyFill="1" applyBorder="1" applyAlignment="1">
      <alignment horizontal="center"/>
    </xf>
    <xf numFmtId="0" fontId="38" fillId="12" borderId="32" xfId="0" applyFont="1" applyFill="1" applyBorder="1" applyAlignment="1">
      <alignment horizontal="center"/>
    </xf>
    <xf numFmtId="165" fontId="38" fillId="20" borderId="8" xfId="2" applyNumberFormat="1" applyFont="1" applyFill="1" applyBorder="1" applyAlignment="1">
      <alignment horizontal="center"/>
    </xf>
    <xf numFmtId="165" fontId="38" fillId="20" borderId="33" xfId="2" applyNumberFormat="1" applyFont="1" applyFill="1" applyBorder="1" applyAlignment="1">
      <alignment horizontal="center"/>
    </xf>
    <xf numFmtId="0" fontId="38" fillId="0" borderId="47" xfId="0" applyFont="1" applyBorder="1" applyAlignment="1">
      <alignment horizontal="center" vertical="center"/>
    </xf>
    <xf numFmtId="0" fontId="38" fillId="0" borderId="55" xfId="0" applyFont="1" applyBorder="1" applyAlignment="1">
      <alignment horizontal="center" vertical="center"/>
    </xf>
    <xf numFmtId="0" fontId="16" fillId="21" borderId="40" xfId="0" applyFont="1" applyFill="1" applyBorder="1" applyAlignment="1">
      <alignment horizontal="center" wrapText="1"/>
    </xf>
    <xf numFmtId="0" fontId="16" fillId="21" borderId="42" xfId="0" applyFont="1" applyFill="1" applyBorder="1" applyAlignment="1">
      <alignment horizontal="center" wrapText="1"/>
    </xf>
    <xf numFmtId="0" fontId="16" fillId="21" borderId="8" xfId="0" applyFont="1" applyFill="1" applyBorder="1" applyAlignment="1">
      <alignment horizontal="center" wrapText="1"/>
    </xf>
    <xf numFmtId="0" fontId="16" fillId="21" borderId="33" xfId="0" applyFont="1" applyFill="1" applyBorder="1" applyAlignment="1">
      <alignment horizontal="center" wrapText="1"/>
    </xf>
    <xf numFmtId="1" fontId="30" fillId="0" borderId="20" xfId="0" applyNumberFormat="1" applyFont="1" applyBorder="1" applyAlignment="1">
      <alignment horizontal="center"/>
    </xf>
    <xf numFmtId="1" fontId="30" fillId="0" borderId="70" xfId="0" applyNumberFormat="1" applyFont="1" applyBorder="1" applyAlignment="1">
      <alignment horizontal="center"/>
    </xf>
    <xf numFmtId="0" fontId="44" fillId="0" borderId="30" xfId="0" applyFont="1" applyBorder="1" applyAlignment="1">
      <alignment horizontal="center" vertical="center"/>
    </xf>
    <xf numFmtId="0" fontId="44" fillId="0" borderId="27" xfId="0" applyFont="1" applyBorder="1" applyAlignment="1">
      <alignment horizontal="center" vertical="center"/>
    </xf>
    <xf numFmtId="1" fontId="30" fillId="0" borderId="17" xfId="0" applyNumberFormat="1" applyFont="1" applyBorder="1" applyAlignment="1">
      <alignment horizontal="center" vertical="center"/>
    </xf>
    <xf numFmtId="1" fontId="30" fillId="0" borderId="71" xfId="0" applyNumberFormat="1" applyFont="1" applyBorder="1" applyAlignment="1">
      <alignment horizontal="center" vertical="center"/>
    </xf>
    <xf numFmtId="0" fontId="73" fillId="12" borderId="52" xfId="0" applyFont="1" applyFill="1" applyBorder="1" applyAlignment="1">
      <alignment horizontal="center"/>
    </xf>
    <xf numFmtId="0" fontId="65" fillId="12" borderId="48" xfId="0" applyFont="1" applyFill="1" applyBorder="1" applyAlignment="1">
      <alignment horizontal="center"/>
    </xf>
    <xf numFmtId="0" fontId="65" fillId="12" borderId="49" xfId="0" applyFont="1" applyFill="1" applyBorder="1" applyAlignment="1">
      <alignment horizontal="center"/>
    </xf>
    <xf numFmtId="0" fontId="0" fillId="20" borderId="40" xfId="0" applyFont="1" applyFill="1" applyBorder="1" applyAlignment="1">
      <alignment horizontal="center"/>
    </xf>
    <xf numFmtId="0" fontId="0" fillId="20" borderId="42" xfId="0" applyFont="1" applyFill="1" applyBorder="1" applyAlignment="1">
      <alignment horizontal="center"/>
    </xf>
    <xf numFmtId="0" fontId="64" fillId="18" borderId="40" xfId="0" applyFont="1" applyFill="1" applyBorder="1" applyAlignment="1">
      <alignment horizontal="left" vertical="center" wrapText="1"/>
    </xf>
    <xf numFmtId="0" fontId="64" fillId="18" borderId="41" xfId="0" applyFont="1" applyFill="1" applyBorder="1" applyAlignment="1">
      <alignment horizontal="left" vertical="center" wrapText="1"/>
    </xf>
    <xf numFmtId="0" fontId="64" fillId="18" borderId="8" xfId="0" applyFont="1" applyFill="1" applyBorder="1" applyAlignment="1">
      <alignment horizontal="left" vertical="center" wrapText="1"/>
    </xf>
    <xf numFmtId="0" fontId="64" fillId="18" borderId="34" xfId="0" applyFont="1" applyFill="1" applyBorder="1" applyAlignment="1">
      <alignment horizontal="left" vertical="center" wrapText="1"/>
    </xf>
    <xf numFmtId="0" fontId="64" fillId="18" borderId="40" xfId="0" applyFont="1" applyFill="1" applyBorder="1" applyAlignment="1">
      <alignment horizontal="left" vertical="center"/>
    </xf>
    <xf numFmtId="0" fontId="64" fillId="18" borderId="41" xfId="0" applyFont="1" applyFill="1" applyBorder="1" applyAlignment="1">
      <alignment horizontal="left" vertical="center"/>
    </xf>
    <xf numFmtId="0" fontId="64" fillId="18" borderId="8" xfId="0" applyFont="1" applyFill="1" applyBorder="1" applyAlignment="1">
      <alignment horizontal="left" vertical="center"/>
    </xf>
    <xf numFmtId="0" fontId="64" fillId="18" borderId="34" xfId="0" applyFont="1" applyFill="1" applyBorder="1" applyAlignment="1">
      <alignment horizontal="left" vertical="center"/>
    </xf>
    <xf numFmtId="0" fontId="44" fillId="20" borderId="52" xfId="0" applyFont="1" applyFill="1" applyBorder="1" applyAlignment="1">
      <alignment horizontal="center"/>
    </xf>
    <xf numFmtId="0" fontId="44" fillId="20" borderId="48" xfId="0" applyFont="1" applyFill="1" applyBorder="1" applyAlignment="1">
      <alignment horizontal="center"/>
    </xf>
    <xf numFmtId="0" fontId="44" fillId="20" borderId="49" xfId="0" applyFont="1" applyFill="1" applyBorder="1" applyAlignment="1">
      <alignment horizontal="center"/>
    </xf>
    <xf numFmtId="0" fontId="43" fillId="12" borderId="42" xfId="0" applyNumberFormat="1" applyFont="1" applyFill="1" applyBorder="1" applyAlignment="1">
      <alignment horizontal="center" vertical="center"/>
    </xf>
    <xf numFmtId="0" fontId="43" fillId="12" borderId="33" xfId="0" applyNumberFormat="1" applyFont="1" applyFill="1" applyBorder="1" applyAlignment="1">
      <alignment horizontal="center" vertical="center"/>
    </xf>
    <xf numFmtId="1" fontId="43" fillId="12" borderId="32" xfId="0" applyNumberFormat="1" applyFont="1" applyFill="1" applyBorder="1" applyAlignment="1">
      <alignment horizontal="center" vertical="center"/>
    </xf>
    <xf numFmtId="1" fontId="43" fillId="12" borderId="33" xfId="0" applyNumberFormat="1" applyFont="1" applyFill="1" applyBorder="1" applyAlignment="1">
      <alignment horizontal="center" vertical="center"/>
    </xf>
    <xf numFmtId="0" fontId="38" fillId="0" borderId="0" xfId="0" applyFont="1" applyAlignment="1">
      <alignment horizontal="center" vertical="center"/>
    </xf>
    <xf numFmtId="0" fontId="44" fillId="0" borderId="53" xfId="0" applyFont="1" applyBorder="1" applyAlignment="1">
      <alignment horizontal="center" vertical="center"/>
    </xf>
    <xf numFmtId="0" fontId="44" fillId="0" borderId="10" xfId="0" applyFont="1" applyBorder="1" applyAlignment="1">
      <alignment horizontal="center" vertical="center"/>
    </xf>
    <xf numFmtId="0" fontId="70" fillId="21" borderId="53" xfId="0" applyFont="1" applyFill="1" applyBorder="1" applyAlignment="1">
      <alignment horizontal="center" vertical="center" wrapText="1"/>
    </xf>
    <xf numFmtId="0" fontId="70" fillId="21" borderId="10" xfId="0" applyFont="1" applyFill="1" applyBorder="1" applyAlignment="1">
      <alignment horizontal="center" vertical="center" wrapText="1"/>
    </xf>
    <xf numFmtId="0" fontId="13" fillId="21" borderId="54" xfId="0" applyFont="1" applyFill="1" applyBorder="1" applyAlignment="1">
      <alignment horizontal="center" vertical="center" wrapText="1"/>
    </xf>
    <xf numFmtId="0" fontId="13" fillId="21" borderId="11" xfId="0" applyFont="1" applyFill="1" applyBorder="1" applyAlignment="1">
      <alignment horizontal="center" vertical="center" wrapText="1"/>
    </xf>
    <xf numFmtId="0" fontId="8" fillId="21" borderId="30" xfId="0" applyFont="1" applyFill="1" applyBorder="1" applyAlignment="1">
      <alignment horizontal="center" vertical="center" wrapText="1"/>
    </xf>
    <xf numFmtId="0" fontId="8" fillId="21" borderId="27" xfId="0" applyFont="1" applyFill="1" applyBorder="1" applyAlignment="1">
      <alignment horizontal="center" vertical="center" wrapText="1"/>
    </xf>
    <xf numFmtId="0" fontId="38" fillId="0" borderId="7" xfId="0" applyFont="1" applyBorder="1" applyAlignment="1">
      <alignment horizontal="center" vertical="center"/>
    </xf>
    <xf numFmtId="0" fontId="69" fillId="10" borderId="47" xfId="0" applyFont="1" applyFill="1" applyBorder="1" applyAlignment="1">
      <alignment horizontal="center" vertical="center" wrapText="1"/>
    </xf>
    <xf numFmtId="0" fontId="69" fillId="10" borderId="55" xfId="0" applyFont="1" applyFill="1" applyBorder="1" applyAlignment="1">
      <alignment horizontal="center" vertical="center" wrapText="1"/>
    </xf>
    <xf numFmtId="44" fontId="26" fillId="16" borderId="52" xfId="2" applyFont="1" applyFill="1" applyBorder="1" applyAlignment="1">
      <alignment horizontal="center"/>
    </xf>
    <xf numFmtId="0" fontId="0" fillId="16" borderId="48" xfId="0" applyFill="1" applyBorder="1" applyAlignment="1"/>
    <xf numFmtId="0" fontId="0" fillId="16" borderId="56" xfId="0" applyFill="1" applyBorder="1" applyAlignment="1"/>
    <xf numFmtId="0" fontId="32" fillId="10" borderId="13" xfId="0" applyFont="1" applyFill="1" applyBorder="1" applyAlignment="1">
      <alignment horizontal="center"/>
    </xf>
    <xf numFmtId="0" fontId="0" fillId="10" borderId="1" xfId="0" applyFont="1" applyFill="1" applyBorder="1" applyAlignment="1">
      <alignment horizontal="center"/>
    </xf>
    <xf numFmtId="0" fontId="2" fillId="2" borderId="0"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0" fillId="0" borderId="40" xfId="0" applyBorder="1" applyAlignment="1"/>
    <xf numFmtId="0" fontId="0" fillId="0" borderId="7" xfId="0" applyBorder="1" applyAlignment="1"/>
    <xf numFmtId="0" fontId="0" fillId="0" borderId="8" xfId="0" applyBorder="1" applyAlignment="1"/>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2" fillId="0" borderId="40" xfId="0" applyFont="1" applyBorder="1" applyAlignment="1">
      <alignment horizontal="center" vertical="center"/>
    </xf>
    <xf numFmtId="0" fontId="1" fillId="0" borderId="7" xfId="0" applyFont="1" applyBorder="1" applyAlignment="1">
      <alignment horizontal="center" vertical="center"/>
    </xf>
    <xf numFmtId="0" fontId="2" fillId="0" borderId="14" xfId="0" applyFont="1" applyBorder="1" applyAlignment="1">
      <alignment horizontal="center" vertical="center" wrapText="1"/>
    </xf>
    <xf numFmtId="0" fontId="8" fillId="16" borderId="52" xfId="0" applyFont="1" applyFill="1" applyBorder="1" applyAlignment="1">
      <alignment horizontal="center"/>
    </xf>
    <xf numFmtId="0" fontId="8" fillId="16" borderId="48" xfId="0" applyFont="1" applyFill="1" applyBorder="1" applyAlignment="1">
      <alignment horizontal="center"/>
    </xf>
    <xf numFmtId="0" fontId="0" fillId="16" borderId="49" xfId="0" applyFill="1" applyBorder="1" applyAlignment="1"/>
    <xf numFmtId="0" fontId="2" fillId="10" borderId="13" xfId="0" applyFont="1" applyFill="1" applyBorder="1" applyAlignment="1">
      <alignment horizontal="center" wrapText="1"/>
    </xf>
    <xf numFmtId="0" fontId="0" fillId="10" borderId="1" xfId="0" applyFill="1" applyBorder="1" applyAlignment="1">
      <alignment horizontal="center" wrapText="1"/>
    </xf>
    <xf numFmtId="0" fontId="8" fillId="16" borderId="8" xfId="0" applyFont="1" applyFill="1" applyBorder="1" applyAlignment="1">
      <alignment horizontal="center"/>
    </xf>
    <xf numFmtId="0" fontId="0" fillId="16" borderId="34" xfId="0" applyFill="1" applyBorder="1" applyAlignment="1">
      <alignment horizontal="center"/>
    </xf>
    <xf numFmtId="0" fontId="0" fillId="16" borderId="33" xfId="0" applyFill="1" applyBorder="1" applyAlignment="1">
      <alignment horizontal="center"/>
    </xf>
    <xf numFmtId="0" fontId="16" fillId="5" borderId="28" xfId="0" applyFont="1" applyFill="1" applyBorder="1" applyAlignment="1">
      <alignment horizontal="center" wrapText="1"/>
    </xf>
    <xf numFmtId="0" fontId="0" fillId="0" borderId="29" xfId="0" applyBorder="1" applyAlignment="1">
      <alignment horizontal="center" wrapText="1"/>
    </xf>
    <xf numFmtId="0" fontId="8" fillId="5" borderId="54" xfId="0" applyFont="1" applyFill="1" applyBorder="1" applyAlignment="1">
      <alignment horizontal="center" vertical="center" wrapText="1"/>
    </xf>
    <xf numFmtId="0" fontId="0" fillId="0" borderId="3" xfId="0" applyBorder="1" applyAlignment="1">
      <alignment horizontal="center" vertical="center" wrapText="1"/>
    </xf>
    <xf numFmtId="0" fontId="2" fillId="10" borderId="54"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49" fillId="0" borderId="1" xfId="0" applyFont="1" applyBorder="1" applyAlignment="1">
      <alignment horizontal="left" vertical="center"/>
    </xf>
    <xf numFmtId="0" fontId="20" fillId="20" borderId="52" xfId="0" applyFont="1" applyFill="1" applyBorder="1" applyAlignment="1">
      <alignment horizontal="center"/>
    </xf>
    <xf numFmtId="0" fontId="20" fillId="20" borderId="48" xfId="0" applyFont="1" applyFill="1" applyBorder="1" applyAlignment="1">
      <alignment horizontal="center"/>
    </xf>
    <xf numFmtId="0" fontId="20" fillId="20" borderId="42" xfId="0" applyFont="1" applyFill="1" applyBorder="1" applyAlignment="1">
      <alignment horizontal="center"/>
    </xf>
    <xf numFmtId="168" fontId="10" fillId="18" borderId="42" xfId="1" applyNumberFormat="1" applyFont="1" applyFill="1" applyBorder="1" applyAlignment="1" applyProtection="1">
      <alignment horizontal="center" vertical="center"/>
      <protection locked="0"/>
    </xf>
    <xf numFmtId="168" fontId="10" fillId="18" borderId="33" xfId="1" applyNumberFormat="1" applyFont="1" applyFill="1" applyBorder="1" applyAlignment="1" applyProtection="1">
      <alignment horizontal="center" vertical="center"/>
      <protection locked="0"/>
    </xf>
    <xf numFmtId="0" fontId="18" fillId="0" borderId="5" xfId="0" applyFont="1" applyBorder="1" applyAlignment="1">
      <alignment horizontal="center" vertical="center" textRotation="90"/>
    </xf>
    <xf numFmtId="0" fontId="18" fillId="0" borderId="12" xfId="0" applyFont="1" applyBorder="1" applyAlignment="1">
      <alignment horizontal="center" vertical="center" textRotation="90"/>
    </xf>
    <xf numFmtId="0" fontId="20" fillId="20" borderId="40" xfId="0" applyFont="1" applyFill="1" applyBorder="1" applyAlignment="1">
      <alignment horizontal="center"/>
    </xf>
    <xf numFmtId="0" fontId="20" fillId="20" borderId="41" xfId="0" applyFont="1" applyFill="1" applyBorder="1" applyAlignment="1">
      <alignment horizontal="center"/>
    </xf>
    <xf numFmtId="0" fontId="0" fillId="0" borderId="12" xfId="0" applyBorder="1" applyAlignment="1"/>
    <xf numFmtId="0" fontId="0" fillId="0" borderId="5" xfId="0" applyBorder="1" applyAlignment="1"/>
    <xf numFmtId="0" fontId="18" fillId="10" borderId="5" xfId="0" applyFont="1" applyFill="1" applyBorder="1" applyAlignment="1">
      <alignment horizontal="center" vertical="center" textRotation="90"/>
    </xf>
    <xf numFmtId="0" fontId="18" fillId="10" borderId="14" xfId="0" applyFont="1" applyFill="1" applyBorder="1" applyAlignment="1">
      <alignment horizontal="center" vertical="center" textRotation="90"/>
    </xf>
    <xf numFmtId="0" fontId="33" fillId="10" borderId="13" xfId="0" applyFont="1" applyFill="1" applyBorder="1" applyAlignment="1">
      <alignment horizontal="center" wrapText="1"/>
    </xf>
    <xf numFmtId="0" fontId="33" fillId="10" borderId="1" xfId="0" applyFont="1" applyFill="1" applyBorder="1" applyAlignment="1">
      <alignment horizontal="center" wrapText="1"/>
    </xf>
    <xf numFmtId="0" fontId="0" fillId="10" borderId="3" xfId="0" applyFill="1" applyBorder="1" applyAlignment="1">
      <alignment horizontal="center" vertical="center" wrapText="1"/>
    </xf>
    <xf numFmtId="0" fontId="33" fillId="10" borderId="13"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30" fillId="0" borderId="40" xfId="0" applyFont="1" applyBorder="1" applyAlignment="1">
      <alignment horizontal="center"/>
    </xf>
    <xf numFmtId="0" fontId="30" fillId="0" borderId="41" xfId="0" applyFont="1" applyBorder="1" applyAlignment="1">
      <alignment horizontal="center"/>
    </xf>
    <xf numFmtId="0" fontId="30" fillId="0" borderId="42" xfId="0" applyFont="1" applyBorder="1" applyAlignment="1">
      <alignment horizontal="center"/>
    </xf>
    <xf numFmtId="0" fontId="49" fillId="0" borderId="15" xfId="0" applyFont="1" applyBorder="1" applyAlignment="1">
      <alignment horizontal="left" vertical="center"/>
    </xf>
    <xf numFmtId="0" fontId="49" fillId="0" borderId="19" xfId="0" applyFont="1" applyBorder="1" applyAlignment="1">
      <alignment horizontal="left" vertical="center"/>
    </xf>
    <xf numFmtId="0" fontId="49" fillId="0" borderId="65" xfId="0" applyFont="1" applyBorder="1" applyAlignment="1">
      <alignment horizontal="left" vertical="center"/>
    </xf>
    <xf numFmtId="0" fontId="49" fillId="0" borderId="37" xfId="0" applyFont="1" applyBorder="1" applyAlignment="1">
      <alignment horizontal="left" vertical="center"/>
    </xf>
    <xf numFmtId="0" fontId="57" fillId="0" borderId="16" xfId="0" applyFont="1" applyBorder="1" applyAlignment="1">
      <alignment horizontal="left" vertical="center"/>
    </xf>
    <xf numFmtId="0" fontId="57" fillId="0" borderId="58" xfId="0" applyFont="1" applyBorder="1" applyAlignment="1">
      <alignment horizontal="left" vertical="center"/>
    </xf>
    <xf numFmtId="0" fontId="57" fillId="0" borderId="22" xfId="0" applyFont="1" applyBorder="1" applyAlignment="1">
      <alignment horizontal="left" vertical="center"/>
    </xf>
    <xf numFmtId="0" fontId="59" fillId="20" borderId="52" xfId="0" applyFont="1" applyFill="1" applyBorder="1" applyAlignment="1">
      <alignment horizontal="center"/>
    </xf>
    <xf numFmtId="0" fontId="59" fillId="20" borderId="48" xfId="0" applyFont="1" applyFill="1" applyBorder="1" applyAlignment="1">
      <alignment horizontal="center"/>
    </xf>
    <xf numFmtId="0" fontId="59" fillId="20" borderId="42" xfId="0" applyFont="1" applyFill="1" applyBorder="1" applyAlignment="1">
      <alignment horizontal="center"/>
    </xf>
    <xf numFmtId="0" fontId="44" fillId="0" borderId="18" xfId="0" applyFont="1" applyBorder="1" applyAlignment="1">
      <alignment horizontal="left"/>
    </xf>
    <xf numFmtId="0" fontId="44" fillId="0" borderId="59" xfId="0" applyFont="1" applyBorder="1" applyAlignment="1">
      <alignment horizontal="left"/>
    </xf>
    <xf numFmtId="0" fontId="44" fillId="0" borderId="23" xfId="0" applyFont="1" applyBorder="1" applyAlignment="1">
      <alignment horizontal="left"/>
    </xf>
    <xf numFmtId="0" fontId="16" fillId="20" borderId="40" xfId="0" applyFont="1" applyFill="1" applyBorder="1" applyAlignment="1">
      <alignment horizontal="center" vertical="center" wrapText="1"/>
    </xf>
    <xf numFmtId="0" fontId="16" fillId="20" borderId="41" xfId="0" applyFont="1" applyFill="1" applyBorder="1" applyAlignment="1">
      <alignment horizontal="center" vertical="center" wrapText="1"/>
    </xf>
    <xf numFmtId="0" fontId="16" fillId="20" borderId="7" xfId="0" applyFont="1" applyFill="1" applyBorder="1" applyAlignment="1">
      <alignment horizontal="center" vertical="center" wrapText="1"/>
    </xf>
    <xf numFmtId="0" fontId="16" fillId="20" borderId="0" xfId="0" applyFont="1" applyFill="1" applyBorder="1" applyAlignment="1">
      <alignment horizontal="center" vertical="center" wrapText="1"/>
    </xf>
    <xf numFmtId="0" fontId="16" fillId="20" borderId="8" xfId="0" applyFont="1" applyFill="1" applyBorder="1" applyAlignment="1">
      <alignment horizontal="center" vertical="center" wrapText="1"/>
    </xf>
    <xf numFmtId="0" fontId="16" fillId="20" borderId="34" xfId="0" applyFont="1" applyFill="1" applyBorder="1" applyAlignment="1">
      <alignment horizontal="center" vertical="center" wrapText="1"/>
    </xf>
    <xf numFmtId="0" fontId="10" fillId="5" borderId="40" xfId="0" applyFont="1" applyFill="1" applyBorder="1" applyAlignment="1">
      <alignment horizontal="center" vertical="center"/>
    </xf>
    <xf numFmtId="0" fontId="10" fillId="5" borderId="41"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0" xfId="0" applyFont="1" applyFill="1" applyBorder="1" applyAlignment="1">
      <alignment horizontal="center" vertical="center"/>
    </xf>
    <xf numFmtId="0" fontId="67" fillId="5" borderId="42" xfId="0" applyFont="1" applyFill="1" applyBorder="1" applyAlignment="1">
      <alignment horizontal="center" vertical="center"/>
    </xf>
    <xf numFmtId="0" fontId="67" fillId="5" borderId="32" xfId="0" applyFont="1" applyFill="1" applyBorder="1" applyAlignment="1">
      <alignment horizontal="center" vertical="center"/>
    </xf>
    <xf numFmtId="0" fontId="10" fillId="18" borderId="40" xfId="0" applyFont="1" applyFill="1" applyBorder="1" applyAlignment="1">
      <alignment horizontal="left" vertical="center" wrapText="1"/>
    </xf>
    <xf numFmtId="0" fontId="10" fillId="18" borderId="41" xfId="0" applyFont="1" applyFill="1" applyBorder="1" applyAlignment="1">
      <alignment horizontal="left" vertical="center" wrapText="1"/>
    </xf>
    <xf numFmtId="0" fontId="10" fillId="18" borderId="8" xfId="0" applyFont="1" applyFill="1" applyBorder="1" applyAlignment="1">
      <alignment horizontal="left" vertical="center" wrapText="1"/>
    </xf>
    <xf numFmtId="0" fontId="10" fillId="18" borderId="34" xfId="0" applyFont="1" applyFill="1" applyBorder="1" applyAlignment="1">
      <alignment horizontal="left" vertical="center" wrapText="1"/>
    </xf>
    <xf numFmtId="0" fontId="49" fillId="0" borderId="18" xfId="0" applyFont="1" applyBorder="1" applyAlignment="1">
      <alignment horizontal="left" vertical="center"/>
    </xf>
    <xf numFmtId="0" fontId="49" fillId="0" borderId="59" xfId="0" applyFont="1" applyBorder="1" applyAlignment="1">
      <alignment horizontal="left" vertical="center"/>
    </xf>
    <xf numFmtId="0" fontId="49" fillId="0" borderId="23" xfId="0" applyFont="1" applyBorder="1" applyAlignment="1">
      <alignment horizontal="left" vertical="center"/>
    </xf>
    <xf numFmtId="0" fontId="2" fillId="5" borderId="54" xfId="0" applyFont="1" applyFill="1" applyBorder="1" applyAlignment="1">
      <alignment horizontal="center" vertical="center" wrapText="1"/>
    </xf>
    <xf numFmtId="0" fontId="20" fillId="20" borderId="49" xfId="0" applyFont="1" applyFill="1" applyBorder="1" applyAlignment="1">
      <alignment horizontal="center"/>
    </xf>
    <xf numFmtId="0" fontId="31" fillId="0" borderId="23" xfId="0" applyFont="1" applyBorder="1" applyAlignment="1">
      <alignment horizontal="center" vertical="center" textRotation="90"/>
    </xf>
    <xf numFmtId="49" fontId="48" fillId="0" borderId="47" xfId="0" applyNumberFormat="1" applyFont="1" applyBorder="1" applyAlignment="1">
      <alignment horizontal="center" vertical="center" textRotation="90"/>
    </xf>
    <xf numFmtId="49" fontId="48" fillId="0" borderId="46" xfId="0" applyNumberFormat="1" applyFont="1" applyBorder="1" applyAlignment="1">
      <alignment horizontal="center" vertical="center" textRotation="90"/>
    </xf>
    <xf numFmtId="49" fontId="48" fillId="0" borderId="55" xfId="0" applyNumberFormat="1" applyFont="1" applyBorder="1" applyAlignment="1">
      <alignment horizontal="center" vertical="center" textRotation="90"/>
    </xf>
    <xf numFmtId="0" fontId="48" fillId="0" borderId="47" xfId="0" applyFont="1" applyBorder="1" applyAlignment="1">
      <alignment horizontal="center" vertical="center" textRotation="90"/>
    </xf>
    <xf numFmtId="0" fontId="48" fillId="0" borderId="46" xfId="0" applyFont="1" applyBorder="1" applyAlignment="1">
      <alignment horizontal="center" vertical="center" textRotation="90"/>
    </xf>
    <xf numFmtId="0" fontId="48" fillId="0" borderId="55" xfId="0" applyFont="1" applyBorder="1" applyAlignment="1">
      <alignment horizontal="center" vertical="center" textRotation="90"/>
    </xf>
    <xf numFmtId="0" fontId="29" fillId="0" borderId="42" xfId="0" applyFont="1" applyBorder="1" applyAlignment="1">
      <alignment horizontal="center" vertical="center" textRotation="90"/>
    </xf>
    <xf numFmtId="0" fontId="29" fillId="0" borderId="32" xfId="0" applyFont="1" applyBorder="1" applyAlignment="1">
      <alignment horizontal="center" vertical="center" textRotation="90"/>
    </xf>
    <xf numFmtId="0" fontId="21" fillId="0" borderId="32" xfId="0" applyFont="1" applyBorder="1" applyAlignment="1">
      <alignment horizontal="center" vertical="center" textRotation="90"/>
    </xf>
    <xf numFmtId="0" fontId="29" fillId="0" borderId="41" xfId="0" applyFont="1" applyBorder="1" applyAlignment="1">
      <alignment horizontal="center" vertical="center" textRotation="90"/>
    </xf>
    <xf numFmtId="0" fontId="29" fillId="0" borderId="0" xfId="0" applyFont="1" applyBorder="1" applyAlignment="1">
      <alignment horizontal="center" vertical="center" textRotation="90"/>
    </xf>
    <xf numFmtId="0" fontId="29" fillId="0" borderId="23" xfId="0" applyFont="1" applyBorder="1" applyAlignment="1">
      <alignment horizontal="center" vertical="center" textRotation="90"/>
    </xf>
    <xf numFmtId="0" fontId="16" fillId="20" borderId="41" xfId="0" applyFont="1" applyFill="1" applyBorder="1" applyAlignment="1">
      <alignment horizontal="left" vertical="center" wrapText="1"/>
    </xf>
    <xf numFmtId="0" fontId="16" fillId="20" borderId="0" xfId="0" applyFont="1" applyFill="1" applyBorder="1" applyAlignment="1">
      <alignment horizontal="left" vertical="center" wrapText="1"/>
    </xf>
    <xf numFmtId="0" fontId="8" fillId="5" borderId="40" xfId="0" applyFont="1" applyFill="1" applyBorder="1" applyAlignment="1">
      <alignment horizontal="center" vertical="center"/>
    </xf>
    <xf numFmtId="0" fontId="8" fillId="5" borderId="41"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0" xfId="0" applyFont="1" applyFill="1" applyBorder="1" applyAlignment="1">
      <alignment horizontal="center" vertical="center"/>
    </xf>
    <xf numFmtId="44" fontId="26" fillId="2" borderId="52" xfId="2" applyFont="1" applyFill="1" applyBorder="1" applyAlignment="1">
      <alignment horizontal="center"/>
    </xf>
    <xf numFmtId="44" fontId="26" fillId="2" borderId="48" xfId="2" applyFont="1" applyFill="1" applyBorder="1" applyAlignment="1">
      <alignment horizontal="center"/>
    </xf>
    <xf numFmtId="44" fontId="26" fillId="2" borderId="56" xfId="2" applyFont="1" applyFill="1" applyBorder="1" applyAlignment="1">
      <alignment horizontal="center"/>
    </xf>
    <xf numFmtId="0" fontId="8" fillId="16" borderId="56" xfId="0" applyFont="1" applyFill="1" applyBorder="1" applyAlignment="1">
      <alignment horizontal="center"/>
    </xf>
    <xf numFmtId="0" fontId="8" fillId="16" borderId="49" xfId="0" applyFont="1" applyFill="1" applyBorder="1" applyAlignment="1">
      <alignment horizontal="center"/>
    </xf>
    <xf numFmtId="0" fontId="0" fillId="0" borderId="0" xfId="0" applyAlignment="1">
      <alignment horizontal="center"/>
    </xf>
    <xf numFmtId="0" fontId="25" fillId="2" borderId="0" xfId="0" applyFont="1" applyFill="1" applyBorder="1" applyAlignment="1">
      <alignment horizontal="center" vertical="center" wrapText="1"/>
    </xf>
    <xf numFmtId="0" fontId="32" fillId="10" borderId="53" xfId="0" applyFont="1" applyFill="1" applyBorder="1" applyAlignment="1">
      <alignment horizontal="center"/>
    </xf>
    <xf numFmtId="0" fontId="0" fillId="10" borderId="10" xfId="0" applyFill="1" applyBorder="1" applyAlignment="1">
      <alignment horizontal="center"/>
    </xf>
    <xf numFmtId="0" fontId="16" fillId="5" borderId="30" xfId="0" applyFont="1" applyFill="1" applyBorder="1" applyAlignment="1">
      <alignment horizontal="center" vertical="center" wrapText="1"/>
    </xf>
    <xf numFmtId="0" fontId="0" fillId="0" borderId="27" xfId="0" applyBorder="1" applyAlignment="1">
      <alignment horizontal="center" vertical="center" wrapText="1"/>
    </xf>
    <xf numFmtId="0" fontId="0" fillId="10" borderId="11" xfId="0" applyFill="1" applyBorder="1" applyAlignment="1">
      <alignment horizontal="center" vertical="center" wrapText="1"/>
    </xf>
    <xf numFmtId="0" fontId="33" fillId="10" borderId="54" xfId="0" applyFont="1" applyFill="1" applyBorder="1" applyAlignment="1">
      <alignment horizontal="center" vertical="center" wrapText="1"/>
    </xf>
    <xf numFmtId="0" fontId="33" fillId="10" borderId="11" xfId="0" applyFont="1" applyFill="1" applyBorder="1" applyAlignment="1">
      <alignment horizontal="center" vertical="center" wrapText="1"/>
    </xf>
    <xf numFmtId="0" fontId="33" fillId="10" borderId="2" xfId="0" applyFont="1" applyFill="1" applyBorder="1" applyAlignment="1">
      <alignment horizontal="center" vertical="center" wrapText="1"/>
    </xf>
    <xf numFmtId="0" fontId="33" fillId="10" borderId="20" xfId="0" applyFont="1" applyFill="1" applyBorder="1" applyAlignment="1">
      <alignment horizontal="center" vertical="center" wrapText="1"/>
    </xf>
    <xf numFmtId="0" fontId="33" fillId="10" borderId="17" xfId="0" applyFont="1" applyFill="1" applyBorder="1" applyAlignment="1">
      <alignment horizontal="center" vertical="center" wrapText="1"/>
    </xf>
    <xf numFmtId="0" fontId="52" fillId="0" borderId="18" xfId="0" applyFont="1" applyBorder="1" applyAlignment="1"/>
    <xf numFmtId="0" fontId="52" fillId="0" borderId="59" xfId="0" applyFont="1" applyBorder="1" applyAlignment="1"/>
    <xf numFmtId="0" fontId="52" fillId="0" borderId="23" xfId="0" applyFont="1" applyBorder="1" applyAlignment="1"/>
    <xf numFmtId="0" fontId="53" fillId="0" borderId="1" xfId="0" applyFont="1" applyBorder="1" applyAlignment="1">
      <alignment horizontal="left" vertical="center"/>
    </xf>
    <xf numFmtId="0" fontId="63" fillId="19" borderId="52" xfId="0" applyFont="1" applyFill="1" applyBorder="1" applyAlignment="1">
      <alignment horizontal="left" vertical="center" wrapText="1"/>
    </xf>
    <xf numFmtId="0" fontId="63" fillId="19" borderId="48" xfId="0" applyFont="1" applyFill="1" applyBorder="1" applyAlignment="1">
      <alignment horizontal="left" vertical="center" wrapText="1"/>
    </xf>
    <xf numFmtId="0" fontId="63" fillId="19" borderId="52" xfId="0" applyFont="1" applyFill="1" applyBorder="1" applyAlignment="1">
      <alignment horizontal="left"/>
    </xf>
    <xf numFmtId="0" fontId="63" fillId="19" borderId="48" xfId="0" applyFont="1" applyFill="1" applyBorder="1" applyAlignment="1">
      <alignment horizontal="left"/>
    </xf>
    <xf numFmtId="0" fontId="8" fillId="2" borderId="0" xfId="0" applyFont="1" applyFill="1" applyBorder="1" applyAlignment="1">
      <alignment horizontal="center"/>
    </xf>
    <xf numFmtId="0" fontId="2" fillId="10" borderId="13" xfId="0" applyFont="1" applyFill="1" applyBorder="1" applyAlignment="1">
      <alignment horizontal="center" vertical="center" wrapText="1"/>
    </xf>
    <xf numFmtId="0" fontId="0" fillId="10" borderId="2" xfId="0" applyFill="1" applyBorder="1" applyAlignment="1">
      <alignment horizontal="center" vertical="center" wrapText="1"/>
    </xf>
    <xf numFmtId="0" fontId="2" fillId="5" borderId="53" xfId="0" applyFont="1" applyFill="1" applyBorder="1" applyAlignment="1">
      <alignment horizontal="center" vertical="center" wrapText="1"/>
    </xf>
    <xf numFmtId="0" fontId="0" fillId="0" borderId="10" xfId="0" applyBorder="1" applyAlignment="1">
      <alignment horizontal="center" vertical="center" wrapText="1"/>
    </xf>
    <xf numFmtId="0" fontId="8" fillId="5" borderId="57"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11" xfId="0" applyBorder="1" applyAlignment="1">
      <alignment horizontal="center" vertical="center" wrapText="1"/>
    </xf>
    <xf numFmtId="0" fontId="2" fillId="10" borderId="30" xfId="0" applyFont="1" applyFill="1" applyBorder="1" applyAlignment="1">
      <alignment horizontal="center" vertical="center" wrapText="1"/>
    </xf>
    <xf numFmtId="0" fontId="0" fillId="10" borderId="27" xfId="0" applyFill="1" applyBorder="1" applyAlignment="1">
      <alignment horizontal="center" vertical="center" wrapText="1"/>
    </xf>
    <xf numFmtId="0" fontId="18" fillId="0" borderId="6" xfId="0" applyFont="1" applyBorder="1" applyAlignment="1">
      <alignment horizontal="center" vertical="center" textRotation="90"/>
    </xf>
    <xf numFmtId="0" fontId="18" fillId="0" borderId="43" xfId="0" applyFont="1" applyBorder="1" applyAlignment="1">
      <alignment horizontal="center" vertical="center" textRotation="90"/>
    </xf>
    <xf numFmtId="0" fontId="18" fillId="0" borderId="7" xfId="0" applyFont="1" applyBorder="1" applyAlignment="1">
      <alignment horizontal="center" vertical="center" textRotation="90"/>
    </xf>
    <xf numFmtId="0" fontId="18" fillId="0" borderId="8" xfId="0" applyFont="1" applyBorder="1" applyAlignment="1">
      <alignment horizontal="center" vertical="center" textRotation="90"/>
    </xf>
    <xf numFmtId="0" fontId="32" fillId="0" borderId="53" xfId="0" applyFont="1" applyBorder="1" applyAlignment="1">
      <alignment horizontal="center"/>
    </xf>
    <xf numFmtId="0" fontId="0" fillId="0" borderId="10" xfId="0" applyBorder="1" applyAlignment="1">
      <alignment horizontal="center"/>
    </xf>
    <xf numFmtId="44" fontId="2" fillId="0" borderId="54" xfId="2" applyFont="1" applyBorder="1" applyAlignment="1">
      <alignment horizontal="center" vertical="center" wrapText="1"/>
    </xf>
    <xf numFmtId="44" fontId="0" fillId="0" borderId="11" xfId="2" applyFont="1" applyBorder="1" applyAlignment="1">
      <alignment horizontal="center" vertical="center" wrapText="1"/>
    </xf>
    <xf numFmtId="0" fontId="8" fillId="16" borderId="5" xfId="0" applyFont="1" applyFill="1" applyBorder="1" applyAlignment="1">
      <alignment horizontal="center"/>
    </xf>
    <xf numFmtId="0" fontId="8" fillId="16" borderId="1" xfId="0" applyFont="1" applyFill="1" applyBorder="1" applyAlignment="1">
      <alignment horizontal="center"/>
    </xf>
    <xf numFmtId="0" fontId="0" fillId="16" borderId="1" xfId="0" applyFill="1" applyBorder="1" applyAlignment="1"/>
    <xf numFmtId="0" fontId="0" fillId="16" borderId="29" xfId="0" applyFill="1" applyBorder="1" applyAlignment="1"/>
    <xf numFmtId="0" fontId="0" fillId="16" borderId="1" xfId="0" applyFill="1" applyBorder="1" applyAlignment="1">
      <alignment horizontal="center"/>
    </xf>
    <xf numFmtId="0" fontId="38" fillId="0" borderId="27" xfId="0" applyFont="1" applyBorder="1" applyAlignment="1">
      <alignment horizontal="center" vertical="center" wrapText="1"/>
    </xf>
    <xf numFmtId="165" fontId="2" fillId="5" borderId="53" xfId="2" applyNumberFormat="1" applyFont="1" applyFill="1" applyBorder="1" applyAlignment="1">
      <alignment horizontal="center" vertical="center" wrapText="1"/>
    </xf>
    <xf numFmtId="165" fontId="38" fillId="0" borderId="10" xfId="2" applyNumberFormat="1" applyFont="1" applyBorder="1" applyAlignment="1">
      <alignment horizontal="center" vertical="center" wrapText="1"/>
    </xf>
    <xf numFmtId="165" fontId="8" fillId="5" borderId="57" xfId="2" applyNumberFormat="1" applyFont="1" applyFill="1" applyBorder="1" applyAlignment="1">
      <alignment horizontal="center" vertical="center" wrapText="1"/>
    </xf>
    <xf numFmtId="165" fontId="38" fillId="0" borderId="39" xfId="2" applyNumberFormat="1" applyFont="1" applyBorder="1" applyAlignment="1">
      <alignment horizontal="center" vertical="center" wrapText="1"/>
    </xf>
    <xf numFmtId="165" fontId="8" fillId="5" borderId="54" xfId="2" applyNumberFormat="1" applyFont="1" applyFill="1" applyBorder="1" applyAlignment="1">
      <alignment horizontal="center" vertical="center" wrapText="1"/>
    </xf>
    <xf numFmtId="165" fontId="38" fillId="0" borderId="11" xfId="2" applyNumberFormat="1" applyFont="1" applyBorder="1" applyAlignment="1">
      <alignment horizontal="center" vertical="center" wrapText="1"/>
    </xf>
    <xf numFmtId="0" fontId="16" fillId="5" borderId="45" xfId="0" applyFont="1" applyFill="1" applyBorder="1" applyAlignment="1">
      <alignment horizontal="center" vertical="center" wrapText="1"/>
    </xf>
    <xf numFmtId="0" fontId="0" fillId="0" borderId="45" xfId="0" applyBorder="1" applyAlignment="1">
      <alignment horizontal="center" vertical="center" wrapText="1"/>
    </xf>
    <xf numFmtId="0" fontId="2" fillId="5" borderId="43" xfId="0" applyFont="1" applyFill="1" applyBorder="1" applyAlignment="1">
      <alignment horizontal="center" vertical="center" wrapText="1"/>
    </xf>
    <xf numFmtId="0" fontId="0" fillId="0" borderId="43" xfId="0" applyBorder="1" applyAlignment="1">
      <alignment horizontal="center" vertical="center" wrapText="1"/>
    </xf>
    <xf numFmtId="0" fontId="8" fillId="5" borderId="44" xfId="0" applyFont="1" applyFill="1" applyBorder="1" applyAlignment="1">
      <alignment horizontal="center" vertical="center" wrapText="1"/>
    </xf>
    <xf numFmtId="0" fontId="0" fillId="0" borderId="44" xfId="0" applyBorder="1" applyAlignment="1">
      <alignment horizontal="center" vertical="center" wrapText="1"/>
    </xf>
    <xf numFmtId="0" fontId="8" fillId="5" borderId="36" xfId="0" applyFont="1" applyFill="1" applyBorder="1" applyAlignment="1">
      <alignment horizontal="center" vertical="center" wrapText="1"/>
    </xf>
    <xf numFmtId="0" fontId="0" fillId="0" borderId="36" xfId="0" applyBorder="1" applyAlignment="1">
      <alignment horizontal="center" vertical="center" wrapText="1"/>
    </xf>
    <xf numFmtId="0" fontId="2" fillId="10" borderId="66" xfId="0" applyFont="1" applyFill="1" applyBorder="1" applyAlignment="1">
      <alignment horizontal="center" vertical="center" wrapText="1"/>
    </xf>
    <xf numFmtId="0" fontId="0" fillId="10" borderId="35" xfId="0" applyFill="1" applyBorder="1" applyAlignment="1">
      <alignment horizontal="center" vertical="center" wrapText="1"/>
    </xf>
    <xf numFmtId="0" fontId="2" fillId="10" borderId="57" xfId="0" applyFont="1" applyFill="1" applyBorder="1" applyAlignment="1">
      <alignment horizontal="center" vertical="center" wrapText="1"/>
    </xf>
    <xf numFmtId="0" fontId="0" fillId="10" borderId="44" xfId="0" applyFill="1" applyBorder="1" applyAlignment="1">
      <alignment horizontal="center" vertical="center" wrapText="1"/>
    </xf>
    <xf numFmtId="0" fontId="18" fillId="0" borderId="40" xfId="0" applyFont="1" applyBorder="1" applyAlignment="1">
      <alignment horizontal="center" vertical="center" textRotation="90"/>
    </xf>
    <xf numFmtId="0" fontId="18" fillId="0" borderId="67" xfId="0" applyFont="1" applyBorder="1" applyAlignment="1">
      <alignment horizontal="center" vertical="center" textRotation="90"/>
    </xf>
    <xf numFmtId="44" fontId="26" fillId="2" borderId="12" xfId="2" applyFont="1" applyFill="1" applyBorder="1" applyAlignment="1">
      <alignment horizontal="center"/>
    </xf>
    <xf numFmtId="0" fontId="0" fillId="0" borderId="13" xfId="0" applyBorder="1" applyAlignment="1"/>
    <xf numFmtId="0" fontId="16" fillId="20" borderId="42" xfId="0" applyFont="1" applyFill="1" applyBorder="1" applyAlignment="1">
      <alignment horizontal="center" vertical="center" wrapText="1"/>
    </xf>
    <xf numFmtId="0" fontId="16" fillId="20" borderId="32" xfId="0" applyFont="1" applyFill="1" applyBorder="1" applyAlignment="1">
      <alignment horizontal="center" vertical="center" wrapText="1"/>
    </xf>
    <xf numFmtId="0" fontId="10" fillId="20" borderId="8" xfId="0" applyFont="1" applyFill="1" applyBorder="1" applyAlignment="1">
      <alignment horizontal="left"/>
    </xf>
    <xf numFmtId="0" fontId="10" fillId="20" borderId="34" xfId="0" applyFont="1" applyFill="1" applyBorder="1" applyAlignment="1">
      <alignment horizontal="left"/>
    </xf>
    <xf numFmtId="0" fontId="63" fillId="19" borderId="40" xfId="0" applyFont="1" applyFill="1" applyBorder="1" applyAlignment="1">
      <alignment horizontal="left" vertical="center" wrapText="1"/>
    </xf>
    <xf numFmtId="0" fontId="63" fillId="19" borderId="41" xfId="0" applyFont="1" applyFill="1" applyBorder="1" applyAlignment="1">
      <alignment horizontal="left" vertical="center" wrapText="1"/>
    </xf>
    <xf numFmtId="0" fontId="63" fillId="19" borderId="8" xfId="0" applyFont="1" applyFill="1" applyBorder="1" applyAlignment="1">
      <alignment horizontal="left"/>
    </xf>
    <xf numFmtId="0" fontId="63" fillId="19" borderId="34" xfId="0" applyFont="1" applyFill="1" applyBorder="1" applyAlignment="1">
      <alignment horizontal="left"/>
    </xf>
    <xf numFmtId="0" fontId="33" fillId="0" borderId="54" xfId="0" applyFont="1" applyBorder="1" applyAlignment="1">
      <alignment horizontal="center" vertical="center" wrapText="1"/>
    </xf>
    <xf numFmtId="0" fontId="33" fillId="0" borderId="11"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11" xfId="0" applyFont="1" applyBorder="1" applyAlignment="1">
      <alignment horizontal="center" vertical="center" wrapText="1"/>
    </xf>
    <xf numFmtId="0" fontId="67" fillId="5" borderId="33"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34" xfId="0" applyFont="1" applyFill="1" applyBorder="1" applyAlignment="1">
      <alignment horizontal="center" vertical="center"/>
    </xf>
    <xf numFmtId="175" fontId="8" fillId="9" borderId="1" xfId="0" applyNumberFormat="1" applyFont="1" applyFill="1" applyBorder="1" applyAlignment="1">
      <alignment horizontal="center" wrapText="1"/>
    </xf>
    <xf numFmtId="175" fontId="8" fillId="9" borderId="5" xfId="0" applyNumberFormat="1" applyFont="1" applyFill="1" applyBorder="1" applyAlignment="1">
      <alignment horizontal="center" wrapText="1"/>
    </xf>
    <xf numFmtId="0" fontId="2" fillId="10" borderId="47" xfId="0" applyFont="1" applyFill="1" applyBorder="1" applyAlignment="1">
      <alignment horizontal="center" vertical="center" wrapText="1"/>
    </xf>
    <xf numFmtId="0" fontId="2" fillId="10" borderId="46" xfId="0" applyFont="1" applyFill="1" applyBorder="1" applyAlignment="1">
      <alignment horizontal="center" vertical="center" wrapText="1"/>
    </xf>
    <xf numFmtId="0" fontId="0" fillId="10" borderId="45" xfId="0"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0" fillId="10" borderId="36" xfId="0" applyFill="1" applyBorder="1" applyAlignment="1">
      <alignment horizontal="center" vertical="center" wrapText="1"/>
    </xf>
    <xf numFmtId="0" fontId="52" fillId="0" borderId="3" xfId="0" applyFont="1" applyBorder="1" applyAlignment="1"/>
    <xf numFmtId="0" fontId="52" fillId="0" borderId="1" xfId="0" applyFont="1" applyBorder="1" applyAlignment="1"/>
    <xf numFmtId="0" fontId="2" fillId="10" borderId="55" xfId="0" applyFont="1" applyFill="1" applyBorder="1" applyAlignment="1">
      <alignment horizontal="center" vertical="center" wrapText="1"/>
    </xf>
    <xf numFmtId="0" fontId="18" fillId="0" borderId="10" xfId="0" applyFont="1" applyBorder="1" applyAlignment="1">
      <alignment horizontal="center" vertical="center" textRotation="90"/>
    </xf>
    <xf numFmtId="0" fontId="33" fillId="10" borderId="36" xfId="0" applyFont="1" applyFill="1" applyBorder="1" applyAlignment="1">
      <alignment horizontal="center" vertical="center" wrapText="1"/>
    </xf>
    <xf numFmtId="0" fontId="32" fillId="10" borderId="54" xfId="0" applyFont="1" applyFill="1" applyBorder="1" applyAlignment="1">
      <alignment horizontal="center" vertical="center" wrapText="1"/>
    </xf>
    <xf numFmtId="0" fontId="32" fillId="10" borderId="36" xfId="0" applyFont="1" applyFill="1" applyBorder="1" applyAlignment="1">
      <alignment horizontal="center" vertical="center" wrapText="1"/>
    </xf>
    <xf numFmtId="0" fontId="29" fillId="0" borderId="47" xfId="0" applyFont="1" applyBorder="1" applyAlignment="1">
      <alignment horizontal="center" vertical="center" textRotation="90"/>
    </xf>
    <xf numFmtId="0" fontId="29" fillId="0" borderId="55" xfId="0" applyFont="1" applyBorder="1" applyAlignment="1">
      <alignment horizontal="center" vertical="center" textRotation="90"/>
    </xf>
    <xf numFmtId="0" fontId="0" fillId="0" borderId="32" xfId="0" applyBorder="1" applyAlignment="1"/>
    <xf numFmtId="0" fontId="0" fillId="10" borderId="43" xfId="0" applyFill="1" applyBorder="1" applyAlignment="1">
      <alignment horizontal="center"/>
    </xf>
    <xf numFmtId="0" fontId="38" fillId="0" borderId="5" xfId="0" applyFont="1" applyBorder="1" applyAlignment="1">
      <alignment horizontal="center" vertical="center" textRotation="90"/>
    </xf>
    <xf numFmtId="0" fontId="38" fillId="0" borderId="14" xfId="0" applyFont="1" applyBorder="1" applyAlignment="1">
      <alignment horizontal="center" vertical="center" textRotation="90"/>
    </xf>
    <xf numFmtId="49" fontId="38" fillId="0" borderId="5" xfId="0" applyNumberFormat="1" applyFont="1" applyBorder="1" applyAlignment="1">
      <alignment horizontal="center" vertical="center" textRotation="90"/>
    </xf>
    <xf numFmtId="0" fontId="43" fillId="0" borderId="50" xfId="0" applyFont="1" applyBorder="1" applyAlignment="1">
      <alignment horizontal="center"/>
    </xf>
    <xf numFmtId="0" fontId="43" fillId="0" borderId="63" xfId="0" applyFont="1" applyBorder="1" applyAlignment="1">
      <alignment horizontal="center"/>
    </xf>
    <xf numFmtId="0" fontId="43" fillId="0" borderId="70" xfId="0" applyFont="1" applyBorder="1" applyAlignment="1">
      <alignment horizontal="center"/>
    </xf>
    <xf numFmtId="0" fontId="0" fillId="18" borderId="1" xfId="0" applyFill="1" applyBorder="1" applyAlignment="1"/>
  </cellXfs>
  <cellStyles count="177">
    <cellStyle name="Comma" xfId="1" builtinId="3"/>
    <cellStyle name="Currency" xfId="2" builtinId="4"/>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28" builtinId="9" hidden="1"/>
    <cellStyle name="Followed Hyperlink" xfId="30" builtinId="9" hidden="1"/>
    <cellStyle name="Followed Hyperlink" xfId="32" builtinId="9" hidden="1"/>
    <cellStyle name="Followed Hyperlink" xfId="36" builtinId="9" hidden="1"/>
    <cellStyle name="Followed Hyperlink" xfId="38" builtinId="9" hidden="1"/>
    <cellStyle name="Followed Hyperlink" xfId="40" builtinId="9" hidden="1"/>
    <cellStyle name="Followed Hyperlink" xfId="44" builtinId="9" hidden="1"/>
    <cellStyle name="Followed Hyperlink" xfId="46" builtinId="9" hidden="1"/>
    <cellStyle name="Followed Hyperlink" xfId="48" builtinId="9" hidden="1"/>
    <cellStyle name="Followed Hyperlink" xfId="52" builtinId="9" hidden="1"/>
    <cellStyle name="Followed Hyperlink" xfId="54" builtinId="9" hidden="1"/>
    <cellStyle name="Followed Hyperlink" xfId="56" builtinId="9" hidden="1"/>
    <cellStyle name="Followed Hyperlink" xfId="60" builtinId="9" hidden="1"/>
    <cellStyle name="Followed Hyperlink" xfId="62" builtinId="9" hidden="1"/>
    <cellStyle name="Followed Hyperlink" xfId="64" builtinId="9" hidden="1"/>
    <cellStyle name="Followed Hyperlink" xfId="68" builtinId="9" hidden="1"/>
    <cellStyle name="Followed Hyperlink" xfId="66" builtinId="9" hidden="1"/>
    <cellStyle name="Followed Hyperlink" xfId="58" builtinId="9" hidden="1"/>
    <cellStyle name="Followed Hyperlink" xfId="50" builtinId="9" hidden="1"/>
    <cellStyle name="Followed Hyperlink" xfId="42" builtinId="9" hidden="1"/>
    <cellStyle name="Followed Hyperlink" xfId="34" builtinId="9" hidden="1"/>
    <cellStyle name="Followed Hyperlink" xfId="26" builtinId="9" hidden="1"/>
    <cellStyle name="Followed Hyperlink" xfId="14" builtinId="9" hidden="1"/>
    <cellStyle name="Followed Hyperlink" xfId="16" builtinId="9" hidden="1"/>
    <cellStyle name="Followed Hyperlink" xfId="20" builtinId="9" hidden="1"/>
    <cellStyle name="Followed Hyperlink" xfId="22" builtinId="9" hidden="1"/>
    <cellStyle name="Followed Hyperlink" xfId="24" builtinId="9" hidden="1"/>
    <cellStyle name="Followed Hyperlink" xfId="18" builtinId="9" hidden="1"/>
    <cellStyle name="Followed Hyperlink" xfId="10" builtinId="9" hidden="1"/>
    <cellStyle name="Followed Hyperlink" xfId="12" builtinId="9" hidden="1"/>
    <cellStyle name="Followed Hyperlink" xfId="8" builtinId="9" hidden="1"/>
    <cellStyle name="Followed Hyperlink" xfId="6"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Hyperlink" xfId="59" builtinId="8" hidden="1"/>
    <cellStyle name="Hyperlink" xfId="61" builtinId="8" hidden="1"/>
    <cellStyle name="Hyperlink" xfId="63" builtinId="8" hidden="1"/>
    <cellStyle name="Hyperlink" xfId="67" builtinId="8" hidden="1"/>
    <cellStyle name="Hyperlink" xfId="69" builtinId="8" hidden="1"/>
    <cellStyle name="Hyperlink" xfId="71" builtinId="8" hidden="1"/>
    <cellStyle name="Hyperlink" xfId="75" builtinId="8" hidden="1"/>
    <cellStyle name="Hyperlink" xfId="77" builtinId="8" hidden="1"/>
    <cellStyle name="Hyperlink" xfId="79" builtinId="8" hidden="1"/>
    <cellStyle name="Hyperlink" xfId="83" builtinId="8" hidden="1"/>
    <cellStyle name="Hyperlink" xfId="85" builtinId="8" hidden="1"/>
    <cellStyle name="Hyperlink" xfId="87" builtinId="8" hidden="1"/>
    <cellStyle name="Hyperlink" xfId="81" builtinId="8" hidden="1"/>
    <cellStyle name="Hyperlink" xfId="73" builtinId="8" hidden="1"/>
    <cellStyle name="Hyperlink" xfId="65" builtinId="8" hidden="1"/>
    <cellStyle name="Hyperlink" xfId="57" builtinId="8" hidden="1"/>
    <cellStyle name="Hyperlink" xfId="27" builtinId="8" hidden="1"/>
    <cellStyle name="Hyperlink" xfId="29" builtinId="8" hidden="1"/>
    <cellStyle name="Hyperlink" xfId="31"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51" builtinId="8" hidden="1"/>
    <cellStyle name="Hyperlink" xfId="53" builtinId="8" hidden="1"/>
    <cellStyle name="Hyperlink" xfId="55" builtinId="8" hidden="1"/>
    <cellStyle name="Hyperlink" xfId="49" builtinId="8" hidden="1"/>
    <cellStyle name="Hyperlink" xfId="3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9" builtinId="8" hidden="1"/>
    <cellStyle name="Hyperlink" xfId="11" builtinId="8" hidden="1"/>
    <cellStyle name="Hyperlink" xfId="13" builtinId="8" hidden="1"/>
    <cellStyle name="Hyperlink" xfId="7" builtinId="8" hidden="1"/>
    <cellStyle name="Hyperlink" xfId="5"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Normal" xfId="0" builtinId="0"/>
    <cellStyle name="Normal 2" xfId="3"/>
    <cellStyle name="Percent" xfId="4" builtinId="5"/>
  </cellStyles>
  <dxfs count="0"/>
  <tableStyles count="0" defaultTableStyle="TableStyleMedium2" defaultPivotStyle="PivotStyleLight16"/>
  <colors>
    <mruColors>
      <color rgb="FFCCFFCC"/>
      <color rgb="FFCCFFFF"/>
      <color rgb="FF99FF99"/>
      <color rgb="FFFFCC00"/>
      <color rgb="FF66FFFF"/>
      <color rgb="FF33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91818</xdr:colOff>
      <xdr:row>41</xdr:row>
      <xdr:rowOff>16282</xdr:rowOff>
    </xdr:from>
    <xdr:to>
      <xdr:col>5</xdr:col>
      <xdr:colOff>1436438</xdr:colOff>
      <xdr:row>58</xdr:row>
      <xdr:rowOff>93577</xdr:rowOff>
    </xdr:to>
    <xdr:pic>
      <xdr:nvPicPr>
        <xdr:cNvPr id="2" name="Picture 1"/>
        <xdr:cNvPicPr>
          <a:picLocks noChangeAspect="1"/>
        </xdr:cNvPicPr>
      </xdr:nvPicPr>
      <xdr:blipFill>
        <a:blip xmlns:r="http://schemas.openxmlformats.org/officeDocument/2006/relationships" r:embed="rId1"/>
        <a:stretch>
          <a:fillRect/>
        </a:stretch>
      </xdr:blipFill>
      <xdr:spPr>
        <a:xfrm>
          <a:off x="7136976" y="8612177"/>
          <a:ext cx="3116604" cy="30317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228600</xdr:colOff>
      <xdr:row>2</xdr:row>
      <xdr:rowOff>114300</xdr:rowOff>
    </xdr:from>
    <xdr:to>
      <xdr:col>13</xdr:col>
      <xdr:colOff>584200</xdr:colOff>
      <xdr:row>2</xdr:row>
      <xdr:rowOff>127000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flipH="1" flipV="1">
          <a:off x="7899400" y="787400"/>
          <a:ext cx="1409700" cy="12700"/>
        </a:xfrm>
        <a:prstGeom prst="straightConnector1">
          <a:avLst/>
        </a:prstGeom>
        <a:ln w="1016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2306320</xdr:colOff>
      <xdr:row>20</xdr:row>
      <xdr:rowOff>35561</xdr:rowOff>
    </xdr:from>
    <xdr:to>
      <xdr:col>1</xdr:col>
      <xdr:colOff>3398520</xdr:colOff>
      <xdr:row>20</xdr:row>
      <xdr:rowOff>223521</xdr:rowOff>
    </xdr:to>
    <xdr:sp macro="" textlink="">
      <xdr:nvSpPr>
        <xdr:cNvPr id="3" name="Right Arrow Callout 2">
          <a:extLst>
            <a:ext uri="{FF2B5EF4-FFF2-40B4-BE49-F238E27FC236}">
              <a16:creationId xmlns:a16="http://schemas.microsoft.com/office/drawing/2014/main" id="{00000000-0008-0000-0000-000003000000}"/>
            </a:ext>
          </a:extLst>
        </xdr:cNvPr>
        <xdr:cNvSpPr/>
      </xdr:nvSpPr>
      <xdr:spPr>
        <a:xfrm>
          <a:off x="2890520" y="6728461"/>
          <a:ext cx="1092200" cy="187960"/>
        </a:xfrm>
        <a:prstGeom prst="rightArrowCallout">
          <a:avLst>
            <a:gd name="adj1" fmla="val 25000"/>
            <a:gd name="adj2" fmla="val 25000"/>
            <a:gd name="adj3" fmla="val 25000"/>
            <a:gd name="adj4" fmla="val 857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BENCHMARK</a:t>
          </a:r>
        </a:p>
        <a:p>
          <a:pPr algn="l"/>
          <a:endParaRPr lang="en-US" sz="1100"/>
        </a:p>
      </xdr:txBody>
    </xdr:sp>
    <xdr:clientData/>
  </xdr:twoCellAnchor>
  <xdr:twoCellAnchor>
    <xdr:from>
      <xdr:col>1</xdr:col>
      <xdr:colOff>2298700</xdr:colOff>
      <xdr:row>29</xdr:row>
      <xdr:rowOff>27940</xdr:rowOff>
    </xdr:from>
    <xdr:to>
      <xdr:col>1</xdr:col>
      <xdr:colOff>3390900</xdr:colOff>
      <xdr:row>29</xdr:row>
      <xdr:rowOff>231140</xdr:rowOff>
    </xdr:to>
    <xdr:sp macro="" textlink="">
      <xdr:nvSpPr>
        <xdr:cNvPr id="9" name="Right Arrow Callout 8">
          <a:extLst>
            <a:ext uri="{FF2B5EF4-FFF2-40B4-BE49-F238E27FC236}">
              <a16:creationId xmlns:a16="http://schemas.microsoft.com/office/drawing/2014/main" id="{00000000-0008-0000-0000-000009000000}"/>
            </a:ext>
          </a:extLst>
        </xdr:cNvPr>
        <xdr:cNvSpPr/>
      </xdr:nvSpPr>
      <xdr:spPr>
        <a:xfrm>
          <a:off x="2882900" y="8981440"/>
          <a:ext cx="1092200" cy="203200"/>
        </a:xfrm>
        <a:prstGeom prst="rightArrowCallout">
          <a:avLst>
            <a:gd name="adj1" fmla="val 25000"/>
            <a:gd name="adj2" fmla="val 25000"/>
            <a:gd name="adj3" fmla="val 25000"/>
            <a:gd name="adj4" fmla="val 857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BENCHMARK</a:t>
          </a:r>
        </a:p>
        <a:p>
          <a:pPr algn="l"/>
          <a:endParaRPr lang="en-US" sz="1100"/>
        </a:p>
      </xdr:txBody>
    </xdr:sp>
    <xdr:clientData/>
  </xdr:twoCellAnchor>
  <xdr:twoCellAnchor>
    <xdr:from>
      <xdr:col>1</xdr:col>
      <xdr:colOff>2316480</xdr:colOff>
      <xdr:row>39</xdr:row>
      <xdr:rowOff>238760</xdr:rowOff>
    </xdr:from>
    <xdr:to>
      <xdr:col>1</xdr:col>
      <xdr:colOff>3467100</xdr:colOff>
      <xdr:row>41</xdr:row>
      <xdr:rowOff>39077</xdr:rowOff>
    </xdr:to>
    <xdr:sp macro="" textlink="">
      <xdr:nvSpPr>
        <xdr:cNvPr id="10" name="Right Arrow Callout 9">
          <a:extLst>
            <a:ext uri="{FF2B5EF4-FFF2-40B4-BE49-F238E27FC236}">
              <a16:creationId xmlns:a16="http://schemas.microsoft.com/office/drawing/2014/main" id="{00000000-0008-0000-0000-00000A000000}"/>
            </a:ext>
          </a:extLst>
        </xdr:cNvPr>
        <xdr:cNvSpPr/>
      </xdr:nvSpPr>
      <xdr:spPr>
        <a:xfrm>
          <a:off x="2980788" y="10965375"/>
          <a:ext cx="1150620" cy="288779"/>
        </a:xfrm>
        <a:prstGeom prst="rightArrowCallout">
          <a:avLst>
            <a:gd name="adj1" fmla="val 25000"/>
            <a:gd name="adj2" fmla="val 25000"/>
            <a:gd name="adj3" fmla="val 25000"/>
            <a:gd name="adj4" fmla="val 857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BENCHMARK</a:t>
          </a:r>
        </a:p>
        <a:p>
          <a:pPr algn="l"/>
          <a:endParaRPr lang="en-US" sz="1100"/>
        </a:p>
      </xdr:txBody>
    </xdr:sp>
    <xdr:clientData/>
  </xdr:twoCellAnchor>
  <xdr:twoCellAnchor>
    <xdr:from>
      <xdr:col>0</xdr:col>
      <xdr:colOff>482600</xdr:colOff>
      <xdr:row>46</xdr:row>
      <xdr:rowOff>39077</xdr:rowOff>
    </xdr:from>
    <xdr:to>
      <xdr:col>0</xdr:col>
      <xdr:colOff>625231</xdr:colOff>
      <xdr:row>47</xdr:row>
      <xdr:rowOff>48262</xdr:rowOff>
    </xdr:to>
    <xdr:sp macro="" textlink="">
      <xdr:nvSpPr>
        <xdr:cNvPr id="5" name="5-Point Star 4">
          <a:extLst>
            <a:ext uri="{FF2B5EF4-FFF2-40B4-BE49-F238E27FC236}">
              <a16:creationId xmlns:a16="http://schemas.microsoft.com/office/drawing/2014/main" id="{00000000-0008-0000-0000-000005000000}"/>
            </a:ext>
          </a:extLst>
        </xdr:cNvPr>
        <xdr:cNvSpPr/>
      </xdr:nvSpPr>
      <xdr:spPr>
        <a:xfrm flipV="1">
          <a:off x="482600" y="12641385"/>
          <a:ext cx="142631" cy="243646"/>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101600</xdr:colOff>
      <xdr:row>20</xdr:row>
      <xdr:rowOff>38100</xdr:rowOff>
    </xdr:from>
    <xdr:to>
      <xdr:col>17</xdr:col>
      <xdr:colOff>1193800</xdr:colOff>
      <xdr:row>20</xdr:row>
      <xdr:rowOff>226060</xdr:rowOff>
    </xdr:to>
    <xdr:sp macro="" textlink="">
      <xdr:nvSpPr>
        <xdr:cNvPr id="12" name="Right Arrow Callout 11">
          <a:extLst>
            <a:ext uri="{FF2B5EF4-FFF2-40B4-BE49-F238E27FC236}">
              <a16:creationId xmlns:a16="http://schemas.microsoft.com/office/drawing/2014/main" id="{00000000-0008-0000-0000-00000C000000}"/>
            </a:ext>
          </a:extLst>
        </xdr:cNvPr>
        <xdr:cNvSpPr/>
      </xdr:nvSpPr>
      <xdr:spPr>
        <a:xfrm>
          <a:off x="18529300" y="6731000"/>
          <a:ext cx="1092200" cy="187960"/>
        </a:xfrm>
        <a:prstGeom prst="rightArrowCallout">
          <a:avLst>
            <a:gd name="adj1" fmla="val 25000"/>
            <a:gd name="adj2" fmla="val 25000"/>
            <a:gd name="adj3" fmla="val 25000"/>
            <a:gd name="adj4" fmla="val 857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BENCHMARK</a:t>
          </a:r>
        </a:p>
        <a:p>
          <a:pPr algn="l"/>
          <a:endParaRPr lang="en-US" sz="1100"/>
        </a:p>
      </xdr:txBody>
    </xdr:sp>
    <xdr:clientData/>
  </xdr:twoCellAnchor>
  <xdr:twoCellAnchor>
    <xdr:from>
      <xdr:col>17</xdr:col>
      <xdr:colOff>114300</xdr:colOff>
      <xdr:row>29</xdr:row>
      <xdr:rowOff>25400</xdr:rowOff>
    </xdr:from>
    <xdr:to>
      <xdr:col>17</xdr:col>
      <xdr:colOff>1206500</xdr:colOff>
      <xdr:row>29</xdr:row>
      <xdr:rowOff>213360</xdr:rowOff>
    </xdr:to>
    <xdr:sp macro="" textlink="">
      <xdr:nvSpPr>
        <xdr:cNvPr id="13" name="Right Arrow Callout 12">
          <a:extLst>
            <a:ext uri="{FF2B5EF4-FFF2-40B4-BE49-F238E27FC236}">
              <a16:creationId xmlns:a16="http://schemas.microsoft.com/office/drawing/2014/main" id="{00000000-0008-0000-0000-00000D000000}"/>
            </a:ext>
          </a:extLst>
        </xdr:cNvPr>
        <xdr:cNvSpPr/>
      </xdr:nvSpPr>
      <xdr:spPr>
        <a:xfrm>
          <a:off x="18542000" y="8978900"/>
          <a:ext cx="1092200" cy="187960"/>
        </a:xfrm>
        <a:prstGeom prst="rightArrowCallout">
          <a:avLst>
            <a:gd name="adj1" fmla="val 25000"/>
            <a:gd name="adj2" fmla="val 25000"/>
            <a:gd name="adj3" fmla="val 25000"/>
            <a:gd name="adj4" fmla="val 857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BENCHMARK</a:t>
          </a:r>
        </a:p>
        <a:p>
          <a:pPr algn="l"/>
          <a:endParaRPr lang="en-US" sz="1100"/>
        </a:p>
      </xdr:txBody>
    </xdr:sp>
    <xdr:clientData/>
  </xdr:twoCellAnchor>
  <xdr:twoCellAnchor>
    <xdr:from>
      <xdr:col>17</xdr:col>
      <xdr:colOff>88900</xdr:colOff>
      <xdr:row>40</xdr:row>
      <xdr:rowOff>0</xdr:rowOff>
    </xdr:from>
    <xdr:to>
      <xdr:col>17</xdr:col>
      <xdr:colOff>1181100</xdr:colOff>
      <xdr:row>40</xdr:row>
      <xdr:rowOff>187960</xdr:rowOff>
    </xdr:to>
    <xdr:sp macro="" textlink="">
      <xdr:nvSpPr>
        <xdr:cNvPr id="15" name="Right Arrow Callout 14">
          <a:extLst>
            <a:ext uri="{FF2B5EF4-FFF2-40B4-BE49-F238E27FC236}">
              <a16:creationId xmlns:a16="http://schemas.microsoft.com/office/drawing/2014/main" id="{00000000-0008-0000-0000-00000F000000}"/>
            </a:ext>
          </a:extLst>
        </xdr:cNvPr>
        <xdr:cNvSpPr/>
      </xdr:nvSpPr>
      <xdr:spPr>
        <a:xfrm>
          <a:off x="18516600" y="12179300"/>
          <a:ext cx="1092200" cy="187960"/>
        </a:xfrm>
        <a:prstGeom prst="rightArrowCallout">
          <a:avLst>
            <a:gd name="adj1" fmla="val 25000"/>
            <a:gd name="adj2" fmla="val 25000"/>
            <a:gd name="adj3" fmla="val 25000"/>
            <a:gd name="adj4" fmla="val 857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BENCHMARK</a:t>
          </a:r>
        </a:p>
        <a:p>
          <a:pPr algn="l"/>
          <a:endParaRPr lang="en-US" sz="1100"/>
        </a:p>
      </xdr:txBody>
    </xdr:sp>
    <xdr:clientData/>
  </xdr:twoCellAnchor>
  <xdr:twoCellAnchor>
    <xdr:from>
      <xdr:col>19</xdr:col>
      <xdr:colOff>175846</xdr:colOff>
      <xdr:row>2</xdr:row>
      <xdr:rowOff>195384</xdr:rowOff>
    </xdr:from>
    <xdr:to>
      <xdr:col>20</xdr:col>
      <xdr:colOff>1250462</xdr:colOff>
      <xdr:row>2</xdr:row>
      <xdr:rowOff>195384</xdr:rowOff>
    </xdr:to>
    <xdr:cxnSp macro="">
      <xdr:nvCxnSpPr>
        <xdr:cNvPr id="14" name="Straight Arrow Connector 13">
          <a:extLst>
            <a:ext uri="{FF2B5EF4-FFF2-40B4-BE49-F238E27FC236}">
              <a16:creationId xmlns:a16="http://schemas.microsoft.com/office/drawing/2014/main" id="{00000000-0008-0000-0000-000004000000}"/>
            </a:ext>
          </a:extLst>
        </xdr:cNvPr>
        <xdr:cNvCxnSpPr/>
      </xdr:nvCxnSpPr>
      <xdr:spPr>
        <a:xfrm flipH="1">
          <a:off x="26494154" y="859692"/>
          <a:ext cx="1387231" cy="0"/>
        </a:xfrm>
        <a:prstGeom prst="straightConnector1">
          <a:avLst/>
        </a:prstGeom>
        <a:ln w="1016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2552700</xdr:colOff>
      <xdr:row>24</xdr:row>
      <xdr:rowOff>33020</xdr:rowOff>
    </xdr:from>
    <xdr:to>
      <xdr:col>2</xdr:col>
      <xdr:colOff>3589020</xdr:colOff>
      <xdr:row>24</xdr:row>
      <xdr:rowOff>223520</xdr:rowOff>
    </xdr:to>
    <xdr:sp macro="" textlink="">
      <xdr:nvSpPr>
        <xdr:cNvPr id="3075" name="Right Arrow Callout 2">
          <a:extLst>
            <a:ext uri="{FF2B5EF4-FFF2-40B4-BE49-F238E27FC236}">
              <a16:creationId xmlns:a16="http://schemas.microsoft.com/office/drawing/2014/main" id="{00000000-0008-0000-0100-0000030C0000}"/>
            </a:ext>
          </a:extLst>
        </xdr:cNvPr>
        <xdr:cNvSpPr>
          <a:spLocks noChangeArrowheads="1"/>
        </xdr:cNvSpPr>
      </xdr:nvSpPr>
      <xdr:spPr bwMode="auto">
        <a:xfrm>
          <a:off x="3152140" y="7825740"/>
          <a:ext cx="1036320" cy="190500"/>
        </a:xfrm>
        <a:prstGeom prst="rightArrowCallout">
          <a:avLst>
            <a:gd name="adj1" fmla="val 25000"/>
            <a:gd name="adj2" fmla="val 25000"/>
            <a:gd name="adj3" fmla="val 31633"/>
            <a:gd name="adj4" fmla="val 85773"/>
          </a:avLst>
        </a:prstGeom>
        <a:solidFill>
          <a:srgbClr val="4F81BD"/>
        </a:solidFill>
        <a:ln w="25400" algn="ctr">
          <a:solidFill>
            <a:srgbClr val="385D8A"/>
          </a:solidFill>
          <a:miter lim="800000"/>
          <a:headEnd/>
          <a:tailEnd/>
        </a:ln>
      </xdr:spPr>
      <xdr:txBody>
        <a:bodyPr vertOverflow="clip" wrap="square" lIns="36576" tIns="32004" rIns="0" bIns="0" anchor="t" upright="1"/>
        <a:lstStyle/>
        <a:p>
          <a:pPr algn="l" rtl="0">
            <a:defRPr sz="1000"/>
          </a:pPr>
          <a:r>
            <a:rPr lang="en-US" sz="1000" b="0" i="0" u="none" strike="noStrike" baseline="0">
              <a:solidFill>
                <a:srgbClr val="FFFFFF"/>
              </a:solidFill>
              <a:latin typeface="Calibri"/>
            </a:rPr>
            <a:t>BENCHMARK</a:t>
          </a:r>
        </a:p>
        <a:p>
          <a:pPr algn="l" rtl="0">
            <a:defRPr sz="1000"/>
          </a:pPr>
          <a:endParaRPr lang="en-US" sz="1100" b="0" i="0" u="none" strike="noStrike" baseline="0">
            <a:solidFill>
              <a:srgbClr val="FFFFFF"/>
            </a:solidFill>
            <a:latin typeface="Calibri"/>
          </a:endParaRPr>
        </a:p>
      </xdr:txBody>
    </xdr:sp>
    <xdr:clientData/>
  </xdr:twoCellAnchor>
  <xdr:twoCellAnchor>
    <xdr:from>
      <xdr:col>2</xdr:col>
      <xdr:colOff>2420303</xdr:colOff>
      <xdr:row>31</xdr:row>
      <xdr:rowOff>42387</xdr:rowOff>
    </xdr:from>
    <xdr:to>
      <xdr:col>2</xdr:col>
      <xdr:colOff>3456623</xdr:colOff>
      <xdr:row>31</xdr:row>
      <xdr:rowOff>225267</xdr:rowOff>
    </xdr:to>
    <xdr:sp macro="" textlink="">
      <xdr:nvSpPr>
        <xdr:cNvPr id="3076" name="Right Arrow Callout 8">
          <a:extLst>
            <a:ext uri="{FF2B5EF4-FFF2-40B4-BE49-F238E27FC236}">
              <a16:creationId xmlns:a16="http://schemas.microsoft.com/office/drawing/2014/main" id="{00000000-0008-0000-0100-0000040C0000}"/>
            </a:ext>
          </a:extLst>
        </xdr:cNvPr>
        <xdr:cNvSpPr>
          <a:spLocks noChangeArrowheads="1"/>
        </xdr:cNvSpPr>
      </xdr:nvSpPr>
      <xdr:spPr bwMode="auto">
        <a:xfrm>
          <a:off x="3599022" y="9329262"/>
          <a:ext cx="1036320" cy="182880"/>
        </a:xfrm>
        <a:prstGeom prst="rightArrowCallout">
          <a:avLst>
            <a:gd name="adj1" fmla="val 25000"/>
            <a:gd name="adj2" fmla="val 25000"/>
            <a:gd name="adj3" fmla="val 29645"/>
            <a:gd name="adj4" fmla="val 85773"/>
          </a:avLst>
        </a:prstGeom>
        <a:solidFill>
          <a:srgbClr val="4F81BD"/>
        </a:solidFill>
        <a:ln w="25400" algn="ctr">
          <a:solidFill>
            <a:srgbClr val="385D8A"/>
          </a:solidFill>
          <a:miter lim="800000"/>
          <a:headEnd/>
          <a:tailEnd/>
        </a:ln>
      </xdr:spPr>
      <xdr:txBody>
        <a:bodyPr vertOverflow="clip" wrap="square" lIns="36576" tIns="32004" rIns="0" bIns="0" anchor="t" upright="1"/>
        <a:lstStyle/>
        <a:p>
          <a:pPr algn="l" rtl="0">
            <a:defRPr sz="1000"/>
          </a:pPr>
          <a:r>
            <a:rPr lang="en-US" sz="1000" b="0" i="0" u="none" strike="noStrike" baseline="0">
              <a:solidFill>
                <a:srgbClr val="FFFFFF"/>
              </a:solidFill>
              <a:latin typeface="Calibri"/>
            </a:rPr>
            <a:t>BENCHMARK</a:t>
          </a:r>
        </a:p>
        <a:p>
          <a:pPr algn="l" rtl="0">
            <a:defRPr sz="1000"/>
          </a:pPr>
          <a:endParaRPr lang="en-US" sz="1100" b="0" i="0" u="none" strike="noStrike" baseline="0">
            <a:solidFill>
              <a:srgbClr val="FFFFFF"/>
            </a:solidFill>
            <a:latin typeface="Calibri"/>
          </a:endParaRPr>
        </a:p>
      </xdr:txBody>
    </xdr:sp>
    <xdr:clientData/>
  </xdr:twoCellAnchor>
  <xdr:twoCellAnchor>
    <xdr:from>
      <xdr:col>2</xdr:col>
      <xdr:colOff>2425700</xdr:colOff>
      <xdr:row>37</xdr:row>
      <xdr:rowOff>40640</xdr:rowOff>
    </xdr:from>
    <xdr:to>
      <xdr:col>2</xdr:col>
      <xdr:colOff>3538220</xdr:colOff>
      <xdr:row>37</xdr:row>
      <xdr:rowOff>215900</xdr:rowOff>
    </xdr:to>
    <xdr:sp macro="" textlink="">
      <xdr:nvSpPr>
        <xdr:cNvPr id="3077" name="Right Arrow Callout 9">
          <a:extLst>
            <a:ext uri="{FF2B5EF4-FFF2-40B4-BE49-F238E27FC236}">
              <a16:creationId xmlns:a16="http://schemas.microsoft.com/office/drawing/2014/main" id="{00000000-0008-0000-0100-0000050C0000}"/>
            </a:ext>
          </a:extLst>
        </xdr:cNvPr>
        <xdr:cNvSpPr>
          <a:spLocks noChangeArrowheads="1"/>
        </xdr:cNvSpPr>
      </xdr:nvSpPr>
      <xdr:spPr bwMode="auto">
        <a:xfrm>
          <a:off x="3025140" y="10820400"/>
          <a:ext cx="1112520" cy="175260"/>
        </a:xfrm>
        <a:prstGeom prst="rightArrowCallout">
          <a:avLst>
            <a:gd name="adj1" fmla="val 25000"/>
            <a:gd name="adj2" fmla="val 25000"/>
            <a:gd name="adj3" fmla="val 35471"/>
            <a:gd name="adj4" fmla="val 85773"/>
          </a:avLst>
        </a:prstGeom>
        <a:solidFill>
          <a:srgbClr val="4F81BD"/>
        </a:solidFill>
        <a:ln w="25400" algn="ctr">
          <a:solidFill>
            <a:srgbClr val="385D8A"/>
          </a:solidFill>
          <a:miter lim="800000"/>
          <a:headEnd/>
          <a:tailEnd/>
        </a:ln>
      </xdr:spPr>
      <xdr:txBody>
        <a:bodyPr vertOverflow="clip" wrap="square" lIns="36576" tIns="32004" rIns="0" bIns="0" anchor="t" upright="1"/>
        <a:lstStyle/>
        <a:p>
          <a:pPr algn="l" rtl="0">
            <a:defRPr sz="1000"/>
          </a:pPr>
          <a:r>
            <a:rPr lang="en-US" sz="1000" b="0" i="0" u="none" strike="noStrike" baseline="0">
              <a:solidFill>
                <a:srgbClr val="FFFFFF"/>
              </a:solidFill>
              <a:latin typeface="Calibri"/>
            </a:rPr>
            <a:t>BENCHMARK</a:t>
          </a:r>
        </a:p>
        <a:p>
          <a:pPr algn="l" rtl="0">
            <a:defRPr sz="1000"/>
          </a:pPr>
          <a:endParaRPr lang="en-US" sz="1100" b="0" i="0" u="none" strike="noStrike" baseline="0">
            <a:solidFill>
              <a:srgbClr val="FFFFFF"/>
            </a:solidFill>
            <a:latin typeface="Calibri"/>
          </a:endParaRPr>
        </a:p>
      </xdr:txBody>
    </xdr:sp>
    <xdr:clientData/>
  </xdr:twoCellAnchor>
  <xdr:twoCellAnchor>
    <xdr:from>
      <xdr:col>2</xdr:col>
      <xdr:colOff>2541746</xdr:colOff>
      <xdr:row>22</xdr:row>
      <xdr:rowOff>30639</xdr:rowOff>
    </xdr:from>
    <xdr:to>
      <xdr:col>2</xdr:col>
      <xdr:colOff>3578066</xdr:colOff>
      <xdr:row>22</xdr:row>
      <xdr:rowOff>194469</xdr:rowOff>
    </xdr:to>
    <xdr:sp macro="" textlink="">
      <xdr:nvSpPr>
        <xdr:cNvPr id="3080" name="Right Arrow Callout 8">
          <a:extLst>
            <a:ext uri="{FF2B5EF4-FFF2-40B4-BE49-F238E27FC236}">
              <a16:creationId xmlns:a16="http://schemas.microsoft.com/office/drawing/2014/main" id="{00000000-0008-0000-0100-0000080C0000}"/>
            </a:ext>
          </a:extLst>
        </xdr:cNvPr>
        <xdr:cNvSpPr>
          <a:spLocks noChangeArrowheads="1"/>
        </xdr:cNvSpPr>
      </xdr:nvSpPr>
      <xdr:spPr bwMode="auto">
        <a:xfrm>
          <a:off x="3720465" y="6698139"/>
          <a:ext cx="1036320" cy="163830"/>
        </a:xfrm>
        <a:prstGeom prst="rightArrowCallout">
          <a:avLst>
            <a:gd name="adj1" fmla="val 25000"/>
            <a:gd name="adj2" fmla="val 25000"/>
            <a:gd name="adj3" fmla="val 29645"/>
            <a:gd name="adj4" fmla="val 85773"/>
          </a:avLst>
        </a:prstGeom>
        <a:solidFill>
          <a:srgbClr val="4F81BD"/>
        </a:solidFill>
        <a:ln w="25400" algn="ctr">
          <a:solidFill>
            <a:srgbClr val="385D8A"/>
          </a:solidFill>
          <a:miter lim="800000"/>
          <a:headEnd/>
          <a:tailEnd/>
        </a:ln>
      </xdr:spPr>
      <xdr:txBody>
        <a:bodyPr vertOverflow="clip" wrap="square" lIns="36576" tIns="32004" rIns="0" bIns="0" anchor="t" upright="1"/>
        <a:lstStyle/>
        <a:p>
          <a:pPr algn="l" rtl="0">
            <a:defRPr sz="1000"/>
          </a:pPr>
          <a:r>
            <a:rPr lang="en-US" sz="1000" b="0" i="0" u="none" strike="noStrike" baseline="0">
              <a:solidFill>
                <a:srgbClr val="FFFFFF"/>
              </a:solidFill>
              <a:latin typeface="Calibri"/>
            </a:rPr>
            <a:t>BENCHMARK</a:t>
          </a:r>
        </a:p>
        <a:p>
          <a:pPr algn="l" rtl="0">
            <a:defRPr sz="1000"/>
          </a:pPr>
          <a:endParaRPr lang="en-US" sz="1100" b="0" i="0" u="none" strike="noStrike" baseline="0">
            <a:solidFill>
              <a:srgbClr val="FFFFFF"/>
            </a:solidFill>
            <a:latin typeface="Calibri"/>
          </a:endParaRPr>
        </a:p>
      </xdr:txBody>
    </xdr:sp>
    <xdr:clientData/>
  </xdr:twoCellAnchor>
  <xdr:twoCellAnchor>
    <xdr:from>
      <xdr:col>2</xdr:col>
      <xdr:colOff>2513488</xdr:colOff>
      <xdr:row>15</xdr:row>
      <xdr:rowOff>62706</xdr:rowOff>
    </xdr:from>
    <xdr:to>
      <xdr:col>2</xdr:col>
      <xdr:colOff>3519328</xdr:colOff>
      <xdr:row>15</xdr:row>
      <xdr:rowOff>245586</xdr:rowOff>
    </xdr:to>
    <xdr:sp macro="" textlink="">
      <xdr:nvSpPr>
        <xdr:cNvPr id="3081" name="Right Arrow Callout 8">
          <a:extLst>
            <a:ext uri="{FF2B5EF4-FFF2-40B4-BE49-F238E27FC236}">
              <a16:creationId xmlns:a16="http://schemas.microsoft.com/office/drawing/2014/main" id="{00000000-0008-0000-0100-0000090C0000}"/>
            </a:ext>
          </a:extLst>
        </xdr:cNvPr>
        <xdr:cNvSpPr>
          <a:spLocks noChangeArrowheads="1"/>
        </xdr:cNvSpPr>
      </xdr:nvSpPr>
      <xdr:spPr bwMode="auto">
        <a:xfrm>
          <a:off x="3692207" y="4896644"/>
          <a:ext cx="1005840" cy="182880"/>
        </a:xfrm>
        <a:prstGeom prst="rightArrowCallout">
          <a:avLst>
            <a:gd name="adj1" fmla="val 25000"/>
            <a:gd name="adj2" fmla="val 25000"/>
            <a:gd name="adj3" fmla="val 28773"/>
            <a:gd name="adj4" fmla="val 85773"/>
          </a:avLst>
        </a:prstGeom>
        <a:solidFill>
          <a:srgbClr val="4F81BD"/>
        </a:solidFill>
        <a:ln w="25400" algn="ctr">
          <a:solidFill>
            <a:srgbClr val="385D8A"/>
          </a:solidFill>
          <a:miter lim="800000"/>
          <a:headEnd/>
          <a:tailEnd/>
        </a:ln>
      </xdr:spPr>
      <xdr:txBody>
        <a:bodyPr vertOverflow="clip" wrap="square" lIns="36576" tIns="32004" rIns="0" bIns="0" anchor="t" upright="1"/>
        <a:lstStyle/>
        <a:p>
          <a:pPr algn="l" rtl="0">
            <a:defRPr sz="1000"/>
          </a:pPr>
          <a:r>
            <a:rPr lang="en-US" sz="1000" b="0" i="0" u="none" strike="noStrike" baseline="0">
              <a:solidFill>
                <a:srgbClr val="FFFFFF"/>
              </a:solidFill>
              <a:latin typeface="Calibri"/>
            </a:rPr>
            <a:t>BENCHMARK</a:t>
          </a:r>
        </a:p>
        <a:p>
          <a:pPr algn="l" rtl="0">
            <a:defRPr sz="1000"/>
          </a:pPr>
          <a:endParaRPr lang="en-US" sz="1100" b="0" i="0" u="none" strike="noStrike" baseline="0">
            <a:solidFill>
              <a:srgbClr val="FFFFFF"/>
            </a:solidFill>
            <a:latin typeface="Calibri"/>
          </a:endParaRPr>
        </a:p>
      </xdr:txBody>
    </xdr:sp>
    <xdr:clientData/>
  </xdr:twoCellAnchor>
  <xdr:twoCellAnchor>
    <xdr:from>
      <xdr:col>2</xdr:col>
      <xdr:colOff>2339658</xdr:colOff>
      <xdr:row>45</xdr:row>
      <xdr:rowOff>38894</xdr:rowOff>
    </xdr:from>
    <xdr:to>
      <xdr:col>2</xdr:col>
      <xdr:colOff>3452178</xdr:colOff>
      <xdr:row>45</xdr:row>
      <xdr:rowOff>214154</xdr:rowOff>
    </xdr:to>
    <xdr:sp macro="" textlink="">
      <xdr:nvSpPr>
        <xdr:cNvPr id="12" name="Right Arrow Callout 9">
          <a:extLst>
            <a:ext uri="{FF2B5EF4-FFF2-40B4-BE49-F238E27FC236}">
              <a16:creationId xmlns:a16="http://schemas.microsoft.com/office/drawing/2014/main" id="{00000000-0008-0000-0100-00000C000000}"/>
            </a:ext>
          </a:extLst>
        </xdr:cNvPr>
        <xdr:cNvSpPr>
          <a:spLocks noChangeArrowheads="1"/>
        </xdr:cNvSpPr>
      </xdr:nvSpPr>
      <xdr:spPr bwMode="auto">
        <a:xfrm>
          <a:off x="3518377" y="13242925"/>
          <a:ext cx="1112520" cy="175260"/>
        </a:xfrm>
        <a:prstGeom prst="rightArrowCallout">
          <a:avLst>
            <a:gd name="adj1" fmla="val 25000"/>
            <a:gd name="adj2" fmla="val 25000"/>
            <a:gd name="adj3" fmla="val 35471"/>
            <a:gd name="adj4" fmla="val 85773"/>
          </a:avLst>
        </a:prstGeom>
        <a:solidFill>
          <a:srgbClr val="4F81BD"/>
        </a:solidFill>
        <a:ln w="25400" algn="ctr">
          <a:solidFill>
            <a:srgbClr val="385D8A"/>
          </a:solidFill>
          <a:miter lim="800000"/>
          <a:headEnd/>
          <a:tailEnd/>
        </a:ln>
      </xdr:spPr>
      <xdr:txBody>
        <a:bodyPr vertOverflow="clip" wrap="square" lIns="36576" tIns="32004" rIns="0" bIns="0" anchor="t" upright="1"/>
        <a:lstStyle/>
        <a:p>
          <a:pPr algn="l" rtl="0">
            <a:defRPr sz="1000"/>
          </a:pPr>
          <a:r>
            <a:rPr lang="en-US" sz="1000" b="0" i="0" u="none" strike="noStrike" baseline="0">
              <a:solidFill>
                <a:srgbClr val="FFFFFF"/>
              </a:solidFill>
              <a:latin typeface="Calibri"/>
            </a:rPr>
            <a:t>BENCHMARK</a:t>
          </a:r>
        </a:p>
        <a:p>
          <a:pPr algn="l" rtl="0">
            <a:defRPr sz="1000"/>
          </a:pPr>
          <a:endParaRPr lang="en-US" sz="1100" b="0" i="0" u="none" strike="noStrike" baseline="0">
            <a:solidFill>
              <a:srgbClr val="FFFFFF"/>
            </a:solidFill>
            <a:latin typeface="Calibri"/>
          </a:endParaRPr>
        </a:p>
      </xdr:txBody>
    </xdr:sp>
    <xdr:clientData/>
  </xdr:twoCellAnchor>
  <xdr:twoCellAnchor>
    <xdr:from>
      <xdr:col>11</xdr:col>
      <xdr:colOff>127000</xdr:colOff>
      <xdr:row>2</xdr:row>
      <xdr:rowOff>241300</xdr:rowOff>
    </xdr:from>
    <xdr:to>
      <xdr:col>11</xdr:col>
      <xdr:colOff>977900</xdr:colOff>
      <xdr:row>3</xdr:row>
      <xdr:rowOff>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flipH="1">
          <a:off x="14478000" y="914400"/>
          <a:ext cx="850900" cy="12700"/>
        </a:xfrm>
        <a:prstGeom prst="straightConnector1">
          <a:avLst/>
        </a:prstGeom>
        <a:ln w="1016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274320</xdr:colOff>
      <xdr:row>47</xdr:row>
      <xdr:rowOff>231934</xdr:rowOff>
    </xdr:from>
    <xdr:to>
      <xdr:col>1</xdr:col>
      <xdr:colOff>477520</xdr:colOff>
      <xdr:row>48</xdr:row>
      <xdr:rowOff>250031</xdr:rowOff>
    </xdr:to>
    <xdr:sp macro="" textlink="">
      <xdr:nvSpPr>
        <xdr:cNvPr id="3" name="5-Point Star 2">
          <a:extLst>
            <a:ext uri="{FF2B5EF4-FFF2-40B4-BE49-F238E27FC236}">
              <a16:creationId xmlns:a16="http://schemas.microsoft.com/office/drawing/2014/main" id="{00000000-0008-0000-0100-000003000000}"/>
            </a:ext>
          </a:extLst>
        </xdr:cNvPr>
        <xdr:cNvSpPr/>
      </xdr:nvSpPr>
      <xdr:spPr>
        <a:xfrm>
          <a:off x="869633" y="13959840"/>
          <a:ext cx="203200" cy="28003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54429</xdr:colOff>
      <xdr:row>3</xdr:row>
      <xdr:rowOff>121557</xdr:rowOff>
    </xdr:from>
    <xdr:to>
      <xdr:col>18</xdr:col>
      <xdr:colOff>1179286</xdr:colOff>
      <xdr:row>3</xdr:row>
      <xdr:rowOff>127000</xdr:rowOff>
    </xdr:to>
    <xdr:cxnSp macro="">
      <xdr:nvCxnSpPr>
        <xdr:cNvPr id="13" name="Straight Arrow Connector 12">
          <a:extLst>
            <a:ext uri="{FF2B5EF4-FFF2-40B4-BE49-F238E27FC236}">
              <a16:creationId xmlns:a16="http://schemas.microsoft.com/office/drawing/2014/main" id="{00000000-0008-0000-0100-00000B000000}"/>
            </a:ext>
          </a:extLst>
        </xdr:cNvPr>
        <xdr:cNvCxnSpPr/>
      </xdr:nvCxnSpPr>
      <xdr:spPr>
        <a:xfrm flipH="1" flipV="1">
          <a:off x="22515286" y="1046843"/>
          <a:ext cx="1124857" cy="5443"/>
        </a:xfrm>
        <a:prstGeom prst="straightConnector1">
          <a:avLst/>
        </a:prstGeom>
        <a:ln w="1016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3286601</xdr:colOff>
      <xdr:row>20</xdr:row>
      <xdr:rowOff>18574</xdr:rowOff>
    </xdr:from>
    <xdr:to>
      <xdr:col>1</xdr:col>
      <xdr:colOff>4328001</xdr:colOff>
      <xdr:row>20</xdr:row>
      <xdr:rowOff>201454</xdr:rowOff>
    </xdr:to>
    <xdr:sp macro="" textlink="">
      <xdr:nvSpPr>
        <xdr:cNvPr id="4" name="Right Arrow Callout 3">
          <a:extLst>
            <a:ext uri="{FF2B5EF4-FFF2-40B4-BE49-F238E27FC236}">
              <a16:creationId xmlns:a16="http://schemas.microsoft.com/office/drawing/2014/main" id="{00000000-0008-0000-0200-000004000000}"/>
            </a:ext>
          </a:extLst>
        </xdr:cNvPr>
        <xdr:cNvSpPr/>
      </xdr:nvSpPr>
      <xdr:spPr>
        <a:xfrm>
          <a:off x="3870007" y="5888355"/>
          <a:ext cx="1041400" cy="182880"/>
        </a:xfrm>
        <a:prstGeom prst="rightArrowCallout">
          <a:avLst>
            <a:gd name="adj1" fmla="val 25000"/>
            <a:gd name="adj2" fmla="val 25000"/>
            <a:gd name="adj3" fmla="val 25000"/>
            <a:gd name="adj4" fmla="val 857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BENCHMAR</a:t>
          </a:r>
          <a:r>
            <a:rPr lang="en-US" sz="1100"/>
            <a:t>K</a:t>
          </a:r>
        </a:p>
        <a:p>
          <a:pPr algn="l"/>
          <a:endParaRPr lang="en-US" sz="1100"/>
        </a:p>
      </xdr:txBody>
    </xdr:sp>
    <xdr:clientData/>
  </xdr:twoCellAnchor>
  <xdr:twoCellAnchor>
    <xdr:from>
      <xdr:col>1</xdr:col>
      <xdr:colOff>3945732</xdr:colOff>
      <xdr:row>30</xdr:row>
      <xdr:rowOff>53022</xdr:rowOff>
    </xdr:from>
    <xdr:to>
      <xdr:col>1</xdr:col>
      <xdr:colOff>4987132</xdr:colOff>
      <xdr:row>30</xdr:row>
      <xdr:rowOff>227012</xdr:rowOff>
    </xdr:to>
    <xdr:sp macro="" textlink="">
      <xdr:nvSpPr>
        <xdr:cNvPr id="15" name="Right Arrow Callout 14">
          <a:extLst>
            <a:ext uri="{FF2B5EF4-FFF2-40B4-BE49-F238E27FC236}">
              <a16:creationId xmlns:a16="http://schemas.microsoft.com/office/drawing/2014/main" id="{00000000-0008-0000-0200-00000F000000}"/>
            </a:ext>
          </a:extLst>
        </xdr:cNvPr>
        <xdr:cNvSpPr/>
      </xdr:nvSpPr>
      <xdr:spPr>
        <a:xfrm>
          <a:off x="4606132" y="8777922"/>
          <a:ext cx="1041400" cy="173990"/>
        </a:xfrm>
        <a:prstGeom prst="rightArrowCallout">
          <a:avLst>
            <a:gd name="adj1" fmla="val 50000"/>
            <a:gd name="adj2" fmla="val 50000"/>
            <a:gd name="adj3" fmla="val 25000"/>
            <a:gd name="adj4" fmla="val 857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BENCHMARK</a:t>
          </a:r>
        </a:p>
        <a:p>
          <a:pPr algn="l"/>
          <a:endParaRPr lang="en-US" sz="1100"/>
        </a:p>
      </xdr:txBody>
    </xdr:sp>
    <xdr:clientData/>
  </xdr:twoCellAnchor>
  <xdr:twoCellAnchor>
    <xdr:from>
      <xdr:col>9</xdr:col>
      <xdr:colOff>444500</xdr:colOff>
      <xdr:row>2</xdr:row>
      <xdr:rowOff>190500</xdr:rowOff>
    </xdr:from>
    <xdr:to>
      <xdr:col>12</xdr:col>
      <xdr:colOff>800100</xdr:colOff>
      <xdr:row>2</xdr:row>
      <xdr:rowOff>203200</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flipV="1">
          <a:off x="8953500" y="876300"/>
          <a:ext cx="1409700" cy="12700"/>
        </a:xfrm>
        <a:prstGeom prst="straightConnector1">
          <a:avLst/>
        </a:prstGeom>
        <a:ln w="1016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3342640</xdr:colOff>
      <xdr:row>13</xdr:row>
      <xdr:rowOff>71120</xdr:rowOff>
    </xdr:from>
    <xdr:to>
      <xdr:col>1</xdr:col>
      <xdr:colOff>4384040</xdr:colOff>
      <xdr:row>13</xdr:row>
      <xdr:rowOff>254000</xdr:rowOff>
    </xdr:to>
    <xdr:sp macro="" textlink="">
      <xdr:nvSpPr>
        <xdr:cNvPr id="10" name="Right Arrow Callout 9">
          <a:extLst>
            <a:ext uri="{FF2B5EF4-FFF2-40B4-BE49-F238E27FC236}">
              <a16:creationId xmlns:a16="http://schemas.microsoft.com/office/drawing/2014/main" id="{00000000-0008-0000-0200-00000A000000}"/>
            </a:ext>
          </a:extLst>
        </xdr:cNvPr>
        <xdr:cNvSpPr/>
      </xdr:nvSpPr>
      <xdr:spPr>
        <a:xfrm>
          <a:off x="3942080" y="4389120"/>
          <a:ext cx="1041400" cy="182880"/>
        </a:xfrm>
        <a:prstGeom prst="rightArrowCallout">
          <a:avLst>
            <a:gd name="adj1" fmla="val 25000"/>
            <a:gd name="adj2" fmla="val 25000"/>
            <a:gd name="adj3" fmla="val 25000"/>
            <a:gd name="adj4" fmla="val 857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BENCHMAR</a:t>
          </a:r>
          <a:r>
            <a:rPr lang="en-US" sz="1100"/>
            <a:t>K</a:t>
          </a:r>
        </a:p>
        <a:p>
          <a:pPr algn="l"/>
          <a:endParaRPr lang="en-US" sz="1100"/>
        </a:p>
      </xdr:txBody>
    </xdr:sp>
    <xdr:clientData/>
  </xdr:twoCellAnchor>
  <xdr:twoCellAnchor>
    <xdr:from>
      <xdr:col>0</xdr:col>
      <xdr:colOff>431800</xdr:colOff>
      <xdr:row>37</xdr:row>
      <xdr:rowOff>25401</xdr:rowOff>
    </xdr:from>
    <xdr:to>
      <xdr:col>0</xdr:col>
      <xdr:colOff>596900</xdr:colOff>
      <xdr:row>38</xdr:row>
      <xdr:rowOff>1</xdr:rowOff>
    </xdr:to>
    <xdr:sp macro="" textlink="">
      <xdr:nvSpPr>
        <xdr:cNvPr id="9" name="5-Point Star 8">
          <a:extLst>
            <a:ext uri="{FF2B5EF4-FFF2-40B4-BE49-F238E27FC236}">
              <a16:creationId xmlns:a16="http://schemas.microsoft.com/office/drawing/2014/main" id="{00000000-0008-0000-0200-000009000000}"/>
            </a:ext>
          </a:extLst>
        </xdr:cNvPr>
        <xdr:cNvSpPr/>
      </xdr:nvSpPr>
      <xdr:spPr>
        <a:xfrm>
          <a:off x="431800" y="10668001"/>
          <a:ext cx="165100" cy="2159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195387</xdr:colOff>
      <xdr:row>3</xdr:row>
      <xdr:rowOff>0</xdr:rowOff>
    </xdr:from>
    <xdr:to>
      <xdr:col>19</xdr:col>
      <xdr:colOff>1250462</xdr:colOff>
      <xdr:row>3</xdr:row>
      <xdr:rowOff>0</xdr:rowOff>
    </xdr:to>
    <xdr:cxnSp macro="">
      <xdr:nvCxnSpPr>
        <xdr:cNvPr id="11" name="Straight Arrow Connector 10">
          <a:extLst>
            <a:ext uri="{FF2B5EF4-FFF2-40B4-BE49-F238E27FC236}">
              <a16:creationId xmlns:a16="http://schemas.microsoft.com/office/drawing/2014/main" id="{00000000-0008-0000-0200-000008000000}"/>
            </a:ext>
          </a:extLst>
        </xdr:cNvPr>
        <xdr:cNvCxnSpPr/>
      </xdr:nvCxnSpPr>
      <xdr:spPr>
        <a:xfrm flipH="1">
          <a:off x="25048310" y="918308"/>
          <a:ext cx="1699844" cy="0"/>
        </a:xfrm>
        <a:prstGeom prst="straightConnector1">
          <a:avLst/>
        </a:prstGeom>
        <a:ln w="1016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V61"/>
  <sheetViews>
    <sheetView tabSelected="1" zoomScale="95" zoomScaleNormal="95" zoomScalePageLayoutView="95" workbookViewId="0">
      <selection activeCell="I11" sqref="I11"/>
    </sheetView>
  </sheetViews>
  <sheetFormatPr defaultColWidth="8.77734375" defaultRowHeight="14.4" x14ac:dyDescent="0.3"/>
  <cols>
    <col min="2" max="2" width="28.44140625" bestFit="1" customWidth="1"/>
    <col min="3" max="3" width="37" customWidth="1"/>
    <col min="4" max="4" width="18.109375" customWidth="1"/>
    <col min="5" max="5" width="21.77734375" customWidth="1"/>
    <col min="6" max="6" width="21" customWidth="1"/>
    <col min="7" max="7" width="20.109375" bestFit="1" customWidth="1"/>
    <col min="8" max="8" width="28.6640625" customWidth="1"/>
    <col min="9" max="9" width="17.33203125" customWidth="1"/>
    <col min="10" max="10" width="20.77734375" customWidth="1"/>
    <col min="12" max="12" width="37.77734375" customWidth="1"/>
    <col min="13" max="13" width="19.77734375" customWidth="1"/>
    <col min="14" max="14" width="10.77734375" bestFit="1" customWidth="1"/>
    <col min="15" max="15" width="24.6640625" bestFit="1" customWidth="1"/>
    <col min="16" max="16" width="9.33203125" hidden="1" customWidth="1"/>
    <col min="17" max="19" width="8.77734375" hidden="1" customWidth="1"/>
    <col min="20" max="20" width="0" hidden="1" customWidth="1"/>
  </cols>
  <sheetData>
    <row r="1" spans="2:20" ht="15" thickBot="1" x14ac:dyDescent="0.35"/>
    <row r="2" spans="2:20" ht="24" thickBot="1" x14ac:dyDescent="0.5">
      <c r="B2" s="861" t="s">
        <v>315</v>
      </c>
      <c r="C2" s="862"/>
      <c r="D2" s="863"/>
      <c r="E2" s="101"/>
      <c r="F2" s="101"/>
      <c r="G2" s="101"/>
      <c r="H2" s="675" t="s">
        <v>220</v>
      </c>
      <c r="I2" s="822" t="s">
        <v>309</v>
      </c>
      <c r="J2" s="824" t="s">
        <v>240</v>
      </c>
      <c r="P2" s="101"/>
      <c r="Q2" s="101"/>
      <c r="R2" s="101"/>
      <c r="S2" s="101"/>
      <c r="T2" s="101"/>
    </row>
    <row r="3" spans="2:20" ht="16.2" thickBot="1" x14ac:dyDescent="0.35">
      <c r="C3" s="101"/>
      <c r="D3" s="101"/>
      <c r="E3" s="101"/>
      <c r="F3" s="101"/>
      <c r="G3" s="101"/>
      <c r="H3" s="647" t="s">
        <v>1</v>
      </c>
      <c r="I3" s="630">
        <v>1.65</v>
      </c>
      <c r="J3" s="668">
        <v>-0.02</v>
      </c>
      <c r="K3" s="101"/>
      <c r="L3" s="101"/>
      <c r="M3" s="101"/>
      <c r="N3" s="101"/>
      <c r="O3" s="101"/>
      <c r="P3" s="101"/>
      <c r="Q3" s="101"/>
      <c r="R3" s="101"/>
      <c r="S3" s="101"/>
      <c r="T3" s="101"/>
    </row>
    <row r="4" spans="2:20" ht="21" customHeight="1" x14ac:dyDescent="0.3">
      <c r="B4" s="866" t="s">
        <v>10</v>
      </c>
      <c r="C4" s="867"/>
      <c r="D4" s="867"/>
      <c r="E4" s="867"/>
      <c r="F4" s="877">
        <v>5000</v>
      </c>
      <c r="H4" s="681" t="s">
        <v>221</v>
      </c>
      <c r="I4" s="682">
        <v>2.2799999999999998</v>
      </c>
      <c r="J4" s="683">
        <v>0.02</v>
      </c>
      <c r="P4" s="101"/>
      <c r="Q4" s="101"/>
      <c r="R4" s="101"/>
      <c r="S4" s="101"/>
      <c r="T4" s="101"/>
    </row>
    <row r="5" spans="2:20" ht="16.05" customHeight="1" thickBot="1" x14ac:dyDescent="0.35">
      <c r="B5" s="868"/>
      <c r="C5" s="869"/>
      <c r="D5" s="869"/>
      <c r="E5" s="869"/>
      <c r="F5" s="878"/>
      <c r="H5" s="650" t="s">
        <v>4</v>
      </c>
      <c r="I5" s="631">
        <f>2.13</f>
        <v>2.13</v>
      </c>
      <c r="J5" s="683">
        <v>0.02</v>
      </c>
      <c r="P5" s="101"/>
      <c r="Q5" s="101"/>
      <c r="R5" s="101"/>
      <c r="S5" s="101"/>
      <c r="T5" s="101"/>
    </row>
    <row r="6" spans="2:20" ht="18" customHeight="1" x14ac:dyDescent="0.3">
      <c r="B6" s="870" t="s">
        <v>13</v>
      </c>
      <c r="C6" s="871"/>
      <c r="D6" s="871"/>
      <c r="E6" s="871"/>
      <c r="F6" s="879">
        <f>F4/365</f>
        <v>13.698630136986301</v>
      </c>
      <c r="H6" s="681" t="s">
        <v>314</v>
      </c>
      <c r="I6" s="682">
        <v>0.05</v>
      </c>
      <c r="J6" s="683">
        <v>0</v>
      </c>
      <c r="P6" s="101"/>
      <c r="Q6" s="101"/>
      <c r="R6" s="101"/>
      <c r="S6" s="101"/>
      <c r="T6" s="101"/>
    </row>
    <row r="7" spans="2:20" ht="16.05" customHeight="1" thickBot="1" x14ac:dyDescent="0.35">
      <c r="B7" s="872"/>
      <c r="C7" s="873"/>
      <c r="D7" s="873"/>
      <c r="E7" s="873"/>
      <c r="F7" s="880"/>
      <c r="H7" s="650" t="s">
        <v>9</v>
      </c>
      <c r="I7" s="632">
        <v>0.16</v>
      </c>
      <c r="J7" s="668">
        <v>0.02</v>
      </c>
      <c r="P7" s="101"/>
      <c r="Q7" s="101"/>
      <c r="R7" s="101"/>
      <c r="S7" s="101"/>
      <c r="T7" s="101"/>
    </row>
    <row r="8" spans="2:20" ht="15" thickBot="1" x14ac:dyDescent="0.35">
      <c r="C8" s="101"/>
      <c r="D8" s="101"/>
      <c r="E8" s="101"/>
      <c r="F8" s="101"/>
      <c r="G8" s="101"/>
      <c r="H8" s="823" t="s">
        <v>310</v>
      </c>
      <c r="I8" s="680">
        <v>0</v>
      </c>
      <c r="J8" s="667"/>
      <c r="P8" s="101"/>
      <c r="Q8" s="101"/>
      <c r="R8" s="101"/>
      <c r="S8" s="101"/>
      <c r="T8" s="101"/>
    </row>
    <row r="9" spans="2:20" ht="15" thickBot="1" x14ac:dyDescent="0.35">
      <c r="C9" s="101"/>
      <c r="D9" s="101"/>
      <c r="E9" s="101"/>
      <c r="F9" s="101"/>
      <c r="G9" s="101"/>
      <c r="H9" s="101"/>
      <c r="I9" s="101"/>
      <c r="J9" s="101"/>
      <c r="P9" s="101"/>
      <c r="Q9" s="101"/>
      <c r="R9" s="101"/>
      <c r="S9" s="101"/>
      <c r="T9" s="101"/>
    </row>
    <row r="10" spans="2:20" ht="18.600000000000001" thickBot="1" x14ac:dyDescent="0.4">
      <c r="B10" s="874" t="s">
        <v>302</v>
      </c>
      <c r="C10" s="875"/>
      <c r="D10" s="875"/>
      <c r="E10" s="875"/>
      <c r="F10" s="875"/>
      <c r="G10" s="875"/>
      <c r="H10" s="876"/>
      <c r="I10" s="101"/>
      <c r="P10" s="101"/>
      <c r="Q10" s="101"/>
      <c r="R10" s="101"/>
      <c r="S10" s="101"/>
      <c r="T10" s="101"/>
    </row>
    <row r="11" spans="2:20" x14ac:dyDescent="0.3">
      <c r="B11" s="676" t="s">
        <v>242</v>
      </c>
      <c r="C11" s="677" t="s">
        <v>243</v>
      </c>
      <c r="D11" s="677" t="s">
        <v>244</v>
      </c>
      <c r="E11" s="677" t="s">
        <v>280</v>
      </c>
      <c r="F11" s="677" t="s">
        <v>246</v>
      </c>
      <c r="G11" s="678"/>
      <c r="H11" s="679"/>
      <c r="J11" s="864" t="s">
        <v>279</v>
      </c>
      <c r="K11" s="865"/>
      <c r="O11" s="101"/>
      <c r="P11" s="101"/>
      <c r="Q11" s="101"/>
      <c r="R11" s="101"/>
      <c r="S11" s="101"/>
    </row>
    <row r="12" spans="2:20" ht="16.95" customHeight="1" x14ac:dyDescent="0.3">
      <c r="B12" s="819" t="s">
        <v>68</v>
      </c>
      <c r="C12" s="818" t="s">
        <v>42</v>
      </c>
      <c r="D12" s="633"/>
      <c r="E12" s="820"/>
      <c r="F12" s="733"/>
      <c r="G12" s="673"/>
      <c r="H12" s="672"/>
      <c r="I12" s="101"/>
      <c r="J12" s="845" t="s">
        <v>277</v>
      </c>
      <c r="K12" s="846"/>
      <c r="L12" s="101"/>
      <c r="M12" s="101"/>
      <c r="N12" s="101"/>
      <c r="O12" s="101"/>
      <c r="P12" s="101"/>
      <c r="Q12" s="101"/>
      <c r="R12" s="101"/>
      <c r="S12" s="101"/>
    </row>
    <row r="13" spans="2:20" ht="16.05" hidden="1" customHeight="1" x14ac:dyDescent="0.3">
      <c r="B13" s="658"/>
      <c r="C13" s="638" t="str">
        <f>C12</f>
        <v>gasoline</v>
      </c>
      <c r="D13" s="638"/>
      <c r="E13" s="638">
        <f>IF(C12="electric",E12-J14,IF(C12="plug-in",E12-J14,E12))</f>
        <v>0</v>
      </c>
      <c r="F13" s="638"/>
      <c r="G13" s="671"/>
      <c r="H13" s="672"/>
      <c r="I13" s="101"/>
      <c r="J13" s="16"/>
      <c r="K13" s="657"/>
      <c r="O13" s="101"/>
      <c r="P13" s="101"/>
      <c r="Q13" s="101"/>
      <c r="R13" s="101"/>
      <c r="S13" s="101"/>
      <c r="T13" s="101"/>
    </row>
    <row r="14" spans="2:20" ht="16.05" customHeight="1" thickBot="1" x14ac:dyDescent="0.35">
      <c r="B14" s="669" t="s">
        <v>250</v>
      </c>
      <c r="C14" s="670" t="s">
        <v>202</v>
      </c>
      <c r="D14" s="670" t="s">
        <v>203</v>
      </c>
      <c r="E14" s="670" t="s">
        <v>204</v>
      </c>
      <c r="F14" s="670" t="s">
        <v>205</v>
      </c>
      <c r="G14" s="670" t="s">
        <v>206</v>
      </c>
      <c r="H14" s="674" t="s">
        <v>207</v>
      </c>
      <c r="I14" s="101"/>
      <c r="J14" s="847">
        <f>IF(J12="Yes",7500, IF(J12="No", 0))</f>
        <v>7500</v>
      </c>
      <c r="K14" s="848"/>
      <c r="L14" s="101"/>
      <c r="M14" s="101"/>
      <c r="N14" s="101"/>
      <c r="O14" s="101"/>
      <c r="P14" s="101"/>
      <c r="Q14" s="101"/>
      <c r="R14" s="101"/>
      <c r="S14" s="101"/>
      <c r="T14" s="101"/>
    </row>
    <row r="15" spans="2:20" ht="16.05" customHeight="1" thickBot="1" x14ac:dyDescent="0.35">
      <c r="B15" s="834"/>
      <c r="C15" s="665"/>
      <c r="D15" s="665"/>
      <c r="E15" s="665"/>
      <c r="F15" s="665"/>
      <c r="G15" s="665"/>
      <c r="H15" s="666"/>
      <c r="I15" s="101"/>
      <c r="J15" s="656"/>
      <c r="O15" s="101"/>
      <c r="P15" s="101"/>
      <c r="Q15" s="101"/>
      <c r="R15" s="101"/>
      <c r="S15" s="101"/>
      <c r="T15" s="101"/>
    </row>
    <row r="16" spans="2:20" ht="16.05" customHeight="1" x14ac:dyDescent="0.3">
      <c r="B16" s="101"/>
      <c r="C16" s="101"/>
      <c r="D16" s="101"/>
      <c r="E16" s="101"/>
      <c r="F16" s="101"/>
      <c r="G16" s="101"/>
      <c r="H16" s="101"/>
      <c r="I16" s="101"/>
      <c r="J16" s="101"/>
      <c r="K16" s="101"/>
      <c r="L16" s="101"/>
      <c r="M16" s="101"/>
      <c r="N16" s="101"/>
      <c r="O16" s="101"/>
      <c r="P16" s="101"/>
      <c r="Q16" s="101"/>
      <c r="R16" s="101"/>
      <c r="S16" s="101"/>
      <c r="T16" s="101"/>
    </row>
    <row r="17" spans="2:22" ht="13.95" customHeight="1" thickBot="1" x14ac:dyDescent="0.35">
      <c r="B17" s="101"/>
      <c r="C17" s="101"/>
      <c r="D17" s="101"/>
      <c r="E17" s="101"/>
      <c r="F17" s="101"/>
      <c r="G17" s="101"/>
      <c r="H17" s="101"/>
      <c r="I17" s="101"/>
      <c r="J17" s="101"/>
      <c r="K17" s="101"/>
      <c r="L17" s="101"/>
      <c r="M17" s="101"/>
      <c r="N17" s="101"/>
      <c r="O17" s="101"/>
      <c r="P17" s="101"/>
      <c r="Q17" s="101"/>
      <c r="R17" s="101"/>
      <c r="S17" s="101"/>
      <c r="T17" s="101"/>
    </row>
    <row r="18" spans="2:22" ht="21.6" thickBot="1" x14ac:dyDescent="0.35">
      <c r="B18" s="841" t="s">
        <v>274</v>
      </c>
      <c r="C18" s="842"/>
      <c r="D18" s="842"/>
      <c r="E18" s="842"/>
      <c r="F18" s="842"/>
      <c r="G18" s="842"/>
      <c r="H18" s="842"/>
      <c r="I18" s="842"/>
      <c r="J18" s="842"/>
      <c r="K18" s="843"/>
      <c r="L18" s="101"/>
      <c r="M18" s="101"/>
      <c r="N18" s="101"/>
      <c r="O18" s="101"/>
      <c r="P18" s="101"/>
      <c r="Q18" s="101"/>
      <c r="R18" s="101"/>
      <c r="S18" s="101"/>
      <c r="T18" s="101"/>
    </row>
    <row r="19" spans="2:22" ht="21.6" thickBot="1" x14ac:dyDescent="0.35">
      <c r="B19" s="711"/>
      <c r="C19" s="712"/>
      <c r="D19" s="712"/>
      <c r="E19" s="712"/>
      <c r="F19" s="712"/>
      <c r="G19" s="839" t="s">
        <v>290</v>
      </c>
      <c r="H19" s="840"/>
      <c r="I19" s="840"/>
      <c r="J19" s="835">
        <v>10</v>
      </c>
      <c r="K19" s="836"/>
      <c r="M19" s="101"/>
      <c r="N19" s="101"/>
      <c r="O19" s="101"/>
      <c r="P19" s="101"/>
      <c r="Q19" s="101"/>
      <c r="R19" s="101"/>
      <c r="S19" s="101"/>
      <c r="T19" s="101"/>
      <c r="U19" s="101"/>
    </row>
    <row r="20" spans="2:22" ht="13.95" customHeight="1" x14ac:dyDescent="0.3">
      <c r="B20" s="882" t="s">
        <v>312</v>
      </c>
      <c r="C20" s="857" t="s">
        <v>265</v>
      </c>
      <c r="D20" s="849" t="s">
        <v>270</v>
      </c>
      <c r="E20" s="891" t="s">
        <v>303</v>
      </c>
      <c r="F20" s="849" t="s">
        <v>285</v>
      </c>
      <c r="G20" s="884" t="s">
        <v>275</v>
      </c>
      <c r="H20" s="886" t="s">
        <v>28</v>
      </c>
      <c r="I20" s="888" t="s">
        <v>281</v>
      </c>
      <c r="J20" s="851" t="s">
        <v>30</v>
      </c>
      <c r="K20" s="852"/>
      <c r="L20" s="890"/>
      <c r="M20" s="881"/>
      <c r="N20" s="101"/>
      <c r="O20" s="101"/>
      <c r="P20" s="101"/>
      <c r="Q20" s="101"/>
      <c r="R20" s="101"/>
      <c r="S20" s="101"/>
      <c r="T20" s="101"/>
      <c r="U20" s="101"/>
      <c r="V20" s="101"/>
    </row>
    <row r="21" spans="2:22" ht="22.05" customHeight="1" thickBot="1" x14ac:dyDescent="0.35">
      <c r="B21" s="883"/>
      <c r="C21" s="858"/>
      <c r="D21" s="850"/>
      <c r="E21" s="892"/>
      <c r="F21" s="850"/>
      <c r="G21" s="885"/>
      <c r="H21" s="887"/>
      <c r="I21" s="889"/>
      <c r="J21" s="853"/>
      <c r="K21" s="854"/>
      <c r="L21" s="890"/>
      <c r="M21" s="881"/>
      <c r="N21" s="101"/>
      <c r="O21" s="101"/>
      <c r="P21" s="101"/>
      <c r="Q21" s="101"/>
      <c r="R21" s="101"/>
      <c r="S21" s="101"/>
      <c r="T21" s="101"/>
      <c r="U21" s="101"/>
      <c r="V21" s="101"/>
    </row>
    <row r="22" spans="2:22" ht="18" x14ac:dyDescent="0.35">
      <c r="B22" s="659" t="s">
        <v>273</v>
      </c>
      <c r="C22" s="662" t="str">
        <f>B12</f>
        <v>Vehicle Name</v>
      </c>
      <c r="D22" s="710">
        <f>E13</f>
        <v>0</v>
      </c>
      <c r="E22" s="767">
        <f>'Passenger Cars'!D45</f>
        <v>2.4965363879402309</v>
      </c>
      <c r="F22" s="710" t="e">
        <f>'Passenger Cars'!M45</f>
        <v>#DIV/0!</v>
      </c>
      <c r="G22" s="701" t="e">
        <f>'Passenger Cars'!N45</f>
        <v>#DIV/0!</v>
      </c>
      <c r="H22" s="704" t="e">
        <f>'Passenger Cars'!O45</f>
        <v>#DIV/0!</v>
      </c>
      <c r="I22" s="701" t="e">
        <f>'Passenger Cars'!P45</f>
        <v>#DIV/0!</v>
      </c>
      <c r="J22" s="855" t="e">
        <f>'Passenger Cars'!Q45</f>
        <v>#DIV/0!</v>
      </c>
      <c r="K22" s="856"/>
      <c r="L22" s="101"/>
      <c r="P22" s="101"/>
      <c r="Q22" s="101"/>
      <c r="R22" s="638" t="s">
        <v>247</v>
      </c>
      <c r="S22" s="638" t="s">
        <v>276</v>
      </c>
      <c r="T22" s="101"/>
      <c r="U22" s="101"/>
      <c r="V22" s="101"/>
    </row>
    <row r="23" spans="2:22" ht="18" x14ac:dyDescent="0.35">
      <c r="B23" s="660" t="s">
        <v>263</v>
      </c>
      <c r="C23" s="663" t="s">
        <v>212</v>
      </c>
      <c r="D23" s="707">
        <f>35000-J14</f>
        <v>27500</v>
      </c>
      <c r="E23" s="768">
        <f>'Passenger Cars'!D19</f>
        <v>5.904089563058653</v>
      </c>
      <c r="F23" s="825">
        <f>'Passenger Cars'!M35</f>
        <v>234.28926837534334</v>
      </c>
      <c r="G23" s="702">
        <f>'Passenger Cars'!N35</f>
        <v>2342.8926837534341</v>
      </c>
      <c r="H23" s="705">
        <f>'Passenger Cars'!O35</f>
        <v>29842.892683753435</v>
      </c>
      <c r="I23" s="702">
        <f>'Passenger Cars'!P35</f>
        <v>2984.2892683753435</v>
      </c>
      <c r="J23" s="837">
        <f>'Passenger Cars'!Q35</f>
        <v>0</v>
      </c>
      <c r="K23" s="838"/>
      <c r="L23" s="101"/>
      <c r="M23" s="101"/>
      <c r="N23" s="101"/>
      <c r="O23" s="101"/>
      <c r="P23" s="101"/>
      <c r="Q23" s="101"/>
      <c r="R23" s="638" t="s">
        <v>42</v>
      </c>
      <c r="S23" s="638" t="s">
        <v>277</v>
      </c>
      <c r="T23" s="101"/>
      <c r="U23" s="101"/>
      <c r="V23" s="101"/>
    </row>
    <row r="24" spans="2:22" ht="18" x14ac:dyDescent="0.35">
      <c r="B24" s="660" t="s">
        <v>264</v>
      </c>
      <c r="C24" s="663" t="s">
        <v>286</v>
      </c>
      <c r="D24" s="708">
        <f>'Passenger Cars'!F29</f>
        <v>25165</v>
      </c>
      <c r="E24" s="769">
        <f>'Passenger Cars'!D29</f>
        <v>2.4965363879402309</v>
      </c>
      <c r="F24" s="702">
        <f>'Passenger Cars'!M29</f>
        <v>215.21865413277851</v>
      </c>
      <c r="G24" s="702">
        <f>'Passenger Cars'!N29</f>
        <v>2152.1865413277851</v>
      </c>
      <c r="H24" s="705">
        <f>'Passenger Cars'!O29</f>
        <v>27317.186541327785</v>
      </c>
      <c r="I24" s="702">
        <f>'Passenger Cars'!P29</f>
        <v>2731.7186541327783</v>
      </c>
      <c r="J24" s="837">
        <f>'Passenger Cars'!Q29</f>
        <v>9.9137931034482758</v>
      </c>
      <c r="K24" s="838"/>
      <c r="L24" s="634"/>
      <c r="M24" s="634"/>
      <c r="N24" s="634"/>
      <c r="O24" s="635"/>
      <c r="P24" s="101"/>
      <c r="Q24" s="101"/>
      <c r="R24" s="638" t="s">
        <v>40</v>
      </c>
      <c r="S24" s="638" t="s">
        <v>278</v>
      </c>
      <c r="T24" s="101"/>
      <c r="U24" s="101"/>
      <c r="V24" s="101"/>
    </row>
    <row r="25" spans="2:22" ht="18" x14ac:dyDescent="0.35">
      <c r="B25" s="660" t="s">
        <v>267</v>
      </c>
      <c r="C25" s="663" t="s">
        <v>217</v>
      </c>
      <c r="D25" s="708">
        <f>'Passenger Cars'!F26</f>
        <v>19600</v>
      </c>
      <c r="E25" s="772" t="str">
        <f>'Passenger Cars'!D26</f>
        <v>See EV</v>
      </c>
      <c r="F25" s="702">
        <f>'Passenger Cars'!M26</f>
        <v>221.95825425032527</v>
      </c>
      <c r="G25" s="702">
        <f>'Passenger Cars'!N26</f>
        <v>2219.5825425032526</v>
      </c>
      <c r="H25" s="705">
        <f>'Passenger Cars'!O26</f>
        <v>21819.582542503253</v>
      </c>
      <c r="I25" s="702">
        <f>'Passenger Cars'!P26</f>
        <v>2181.9582542503254</v>
      </c>
      <c r="J25" s="837">
        <f>'Passenger Cars'!Q26</f>
        <v>6.1497326203208562</v>
      </c>
      <c r="K25" s="838"/>
      <c r="L25" s="101"/>
      <c r="M25" s="101"/>
      <c r="N25" s="101"/>
      <c r="O25" s="101"/>
      <c r="P25" s="101"/>
      <c r="Q25" s="101"/>
      <c r="R25" s="638" t="s">
        <v>60</v>
      </c>
      <c r="S25" s="638"/>
      <c r="T25" s="101"/>
      <c r="U25" s="101"/>
      <c r="V25" s="101"/>
    </row>
    <row r="26" spans="2:22" ht="18" x14ac:dyDescent="0.35">
      <c r="B26" s="660" t="s">
        <v>266</v>
      </c>
      <c r="C26" s="663" t="s">
        <v>287</v>
      </c>
      <c r="D26" s="708">
        <f>'Passenger Cars'!F30</f>
        <v>16870</v>
      </c>
      <c r="E26" s="769">
        <f>'Passenger Cars'!D30</f>
        <v>2.4965363879402309</v>
      </c>
      <c r="F26" s="825">
        <f>'Passenger Cars'!M30</f>
        <v>499.30727758804613</v>
      </c>
      <c r="G26" s="702">
        <f>'Passenger Cars'!N30</f>
        <v>4993.0727758804614</v>
      </c>
      <c r="H26" s="705">
        <f>'Passenger Cars'!O30</f>
        <v>21863.072775880461</v>
      </c>
      <c r="I26" s="702">
        <f>'Passenger Cars'!P30</f>
        <v>2186.307277588046</v>
      </c>
      <c r="J26" s="837">
        <f>'Passenger Cars'!Q30</f>
        <v>23</v>
      </c>
      <c r="K26" s="838"/>
      <c r="L26" s="101"/>
      <c r="M26" s="101"/>
      <c r="N26" s="101"/>
      <c r="O26" s="101"/>
      <c r="P26" s="101"/>
      <c r="Q26" s="101"/>
      <c r="R26" s="638" t="s">
        <v>66</v>
      </c>
      <c r="S26" s="638"/>
      <c r="T26" s="101"/>
      <c r="U26" s="101"/>
      <c r="V26" s="101"/>
    </row>
    <row r="27" spans="2:22" ht="18" x14ac:dyDescent="0.35">
      <c r="B27" s="660" t="s">
        <v>268</v>
      </c>
      <c r="C27" s="663" t="s">
        <v>272</v>
      </c>
      <c r="D27" s="708">
        <f>'Passenger Cars'!F33</f>
        <v>16975</v>
      </c>
      <c r="E27" s="769">
        <f>'Passenger Cars'!D33</f>
        <v>2.3322905729441636</v>
      </c>
      <c r="F27" s="702">
        <f>'Passenger Cars'!M33</f>
        <v>376.17589886196191</v>
      </c>
      <c r="G27" s="702">
        <f>'Passenger Cars'!N33</f>
        <v>3761.7589886196183</v>
      </c>
      <c r="H27" s="705">
        <f>'Passenger Cars'!O33</f>
        <v>20736.758988619618</v>
      </c>
      <c r="I27" s="702">
        <f>'Passenger Cars'!P33</f>
        <v>2073.6758988619617</v>
      </c>
      <c r="J27" s="837">
        <f>'Passenger Cars'!Q33</f>
        <v>15.32258064516129</v>
      </c>
      <c r="K27" s="838"/>
      <c r="L27" s="101"/>
      <c r="M27" s="101"/>
      <c r="N27" s="101"/>
      <c r="O27" s="101"/>
      <c r="P27" s="101"/>
      <c r="Q27" s="101"/>
      <c r="R27" s="638" t="s">
        <v>53</v>
      </c>
      <c r="S27" s="638"/>
      <c r="T27" s="101"/>
      <c r="U27" s="101"/>
      <c r="V27" s="101"/>
    </row>
    <row r="28" spans="2:22" ht="18" x14ac:dyDescent="0.35">
      <c r="B28" s="660" t="s">
        <v>98</v>
      </c>
      <c r="C28" s="663" t="s">
        <v>288</v>
      </c>
      <c r="D28" s="708">
        <f>'Crossovers and Special Purpose'!F20</f>
        <v>24150</v>
      </c>
      <c r="E28" s="769">
        <f>'Passenger Cars'!D42</f>
        <v>1.5091493431777381</v>
      </c>
      <c r="F28" s="702">
        <f>'Crossovers and Special Purpose'!L20</f>
        <v>445.8100692750412</v>
      </c>
      <c r="G28" s="702">
        <f>'Crossovers and Special Purpose'!M20</f>
        <v>4458.1006927504122</v>
      </c>
      <c r="H28" s="705">
        <f>'Crossovers and Special Purpose'!N20</f>
        <v>28608.100692750413</v>
      </c>
      <c r="I28" s="702">
        <f>'Crossovers and Special Purpose'!O20</f>
        <v>2860.8100692750413</v>
      </c>
      <c r="J28" s="837">
        <f>'Crossovers and Special Purpose'!P20</f>
        <v>20.535714285714285</v>
      </c>
      <c r="K28" s="838"/>
      <c r="L28" s="101"/>
      <c r="M28" s="101"/>
      <c r="N28" s="101"/>
      <c r="O28" s="101"/>
      <c r="P28" s="101"/>
      <c r="Q28" s="101"/>
      <c r="R28" s="101"/>
      <c r="S28" s="101"/>
      <c r="T28" s="101"/>
      <c r="U28" s="101"/>
      <c r="V28" s="101"/>
    </row>
    <row r="29" spans="2:22" ht="18" x14ac:dyDescent="0.35">
      <c r="B29" s="660" t="s">
        <v>269</v>
      </c>
      <c r="C29" s="663" t="s">
        <v>253</v>
      </c>
      <c r="D29" s="708">
        <f>'Crossovers and Special Purpose'!F19</f>
        <v>27135</v>
      </c>
      <c r="E29" s="769">
        <f>'Crossovers and Special Purpose'!D19</f>
        <v>2.4965363879402309</v>
      </c>
      <c r="F29" s="702">
        <f>'Crossovers and Special Purpose'!L19</f>
        <v>367.13770410885746</v>
      </c>
      <c r="G29" s="702">
        <f>'Crossovers and Special Purpose'!M19</f>
        <v>3671.3770410885745</v>
      </c>
      <c r="H29" s="705">
        <f>'Crossovers and Special Purpose'!N19</f>
        <v>30806.377041088574</v>
      </c>
      <c r="I29" s="702">
        <f>'Crossovers and Special Purpose'!O19</f>
        <v>3080.6377041088572</v>
      </c>
      <c r="J29" s="837">
        <f>'Crossovers and Special Purpose'!P19</f>
        <v>16.911764705882351</v>
      </c>
      <c r="K29" s="838"/>
      <c r="L29" s="101"/>
      <c r="M29" s="101"/>
      <c r="N29" s="101"/>
      <c r="O29" s="101"/>
      <c r="P29" s="101"/>
      <c r="Q29" s="101"/>
      <c r="R29" s="101"/>
      <c r="S29" s="101"/>
      <c r="T29" s="101"/>
      <c r="U29" s="101"/>
      <c r="V29" s="101"/>
    </row>
    <row r="30" spans="2:22" ht="18" x14ac:dyDescent="0.35">
      <c r="B30" s="660" t="s">
        <v>271</v>
      </c>
      <c r="C30" s="663" t="s">
        <v>289</v>
      </c>
      <c r="D30" s="708">
        <f>'Vans and Trucks'!G32</f>
        <v>20000</v>
      </c>
      <c r="E30" s="769">
        <f>'Vans and Trucks'!E32</f>
        <v>2.4965363879402309</v>
      </c>
      <c r="F30" s="702">
        <f>G30/J19</f>
        <v>624.13409698505779</v>
      </c>
      <c r="G30" s="702">
        <f>'Vans and Trucks'!L32</f>
        <v>6241.3409698505775</v>
      </c>
      <c r="H30" s="705">
        <f>'Vans and Trucks'!M32</f>
        <v>27342.754082177147</v>
      </c>
      <c r="I30" s="702">
        <f>'Vans and Trucks'!N32</f>
        <v>2734.2754082177148</v>
      </c>
      <c r="J30" s="837">
        <f>'Vans and Trucks'!O32</f>
        <v>28.75</v>
      </c>
      <c r="K30" s="838"/>
      <c r="L30" s="101"/>
      <c r="M30" s="101"/>
      <c r="N30" s="101"/>
      <c r="O30" s="101"/>
      <c r="P30" s="101"/>
      <c r="Q30" s="101"/>
      <c r="R30" s="101"/>
      <c r="S30" s="101"/>
      <c r="T30" s="101"/>
      <c r="U30" s="101"/>
      <c r="V30" s="101"/>
    </row>
    <row r="31" spans="2:22" ht="18" x14ac:dyDescent="0.35">
      <c r="B31" s="660" t="s">
        <v>295</v>
      </c>
      <c r="C31" s="663" t="s">
        <v>298</v>
      </c>
      <c r="D31" s="708">
        <f>'Vans and Trucks'!G16</f>
        <v>22405</v>
      </c>
      <c r="E31" s="769">
        <f>'Vans and Trucks'!E16</f>
        <v>2.4965363879402309</v>
      </c>
      <c r="F31" s="702">
        <f>G31/$J$19</f>
        <v>520.11174748754809</v>
      </c>
      <c r="G31" s="702">
        <f>'Vans and Trucks'!L16</f>
        <v>5201.1174748754811</v>
      </c>
      <c r="H31" s="722">
        <f>'Vans and Trucks'!M16</f>
        <v>27606.117474875482</v>
      </c>
      <c r="I31" s="702">
        <f>'Vans and Trucks'!N16</f>
        <v>2760.6117474875482</v>
      </c>
      <c r="J31" s="837">
        <f>'Vans and Trucks'!O16</f>
        <v>23.958333333333336</v>
      </c>
      <c r="K31" s="838"/>
      <c r="L31" s="101"/>
      <c r="M31" s="101"/>
      <c r="N31" s="101"/>
      <c r="O31" s="101"/>
      <c r="P31" s="101"/>
      <c r="Q31" s="101"/>
      <c r="R31" s="101"/>
      <c r="S31" s="101"/>
      <c r="T31" s="101"/>
      <c r="U31" s="101"/>
      <c r="V31" s="101"/>
    </row>
    <row r="32" spans="2:22" ht="18" x14ac:dyDescent="0.35">
      <c r="B32" s="728" t="s">
        <v>296</v>
      </c>
      <c r="C32" s="729" t="s">
        <v>299</v>
      </c>
      <c r="D32" s="730">
        <f>'Vans and Trucks'!G21</f>
        <v>31940</v>
      </c>
      <c r="E32" s="770">
        <f>'Vans and Trucks'!E21</f>
        <v>2.4965363879402309</v>
      </c>
      <c r="F32" s="702">
        <f>G32/$J$19</f>
        <v>693.48232998339745</v>
      </c>
      <c r="G32" s="731">
        <f>'Vans and Trucks'!L21</f>
        <v>6934.8232998339745</v>
      </c>
      <c r="H32" s="732">
        <f>'Vans and Trucks'!M21</f>
        <v>38874.823299833974</v>
      </c>
      <c r="I32" s="731">
        <f>'Vans and Trucks'!N21</f>
        <v>3887.4823299833974</v>
      </c>
      <c r="J32" s="837">
        <f>'Vans and Trucks'!O21</f>
        <v>31.944444444444446</v>
      </c>
      <c r="K32" s="838"/>
      <c r="L32" s="101"/>
      <c r="M32" s="101"/>
      <c r="N32" s="101"/>
      <c r="O32" s="101"/>
      <c r="P32" s="101"/>
      <c r="Q32" s="101"/>
      <c r="R32" s="101"/>
      <c r="S32" s="101"/>
      <c r="T32" s="101"/>
      <c r="U32" s="101"/>
      <c r="V32" s="101"/>
    </row>
    <row r="33" spans="2:22" ht="18" x14ac:dyDescent="0.35">
      <c r="B33" s="723" t="s">
        <v>297</v>
      </c>
      <c r="C33" s="724" t="s">
        <v>300</v>
      </c>
      <c r="D33" s="725">
        <f>'Vans and Trucks'!G25</f>
        <v>33140</v>
      </c>
      <c r="E33" s="821">
        <f>'Vans and Trucks'!E25</f>
        <v>2.4965363879402309</v>
      </c>
      <c r="F33" s="726">
        <f>G33/$J$19</f>
        <v>1248.2681939701156</v>
      </c>
      <c r="G33" s="726">
        <f>'Vans and Trucks'!L25</f>
        <v>12482.681939701155</v>
      </c>
      <c r="H33" s="727">
        <f>'Vans and Trucks'!M25</f>
        <v>45622.681939701157</v>
      </c>
      <c r="I33" s="726">
        <f>'Vans and Trucks'!N25</f>
        <v>4562.268193970116</v>
      </c>
      <c r="J33" s="837">
        <f>'Vans and Trucks'!O25</f>
        <v>57.5</v>
      </c>
      <c r="K33" s="838"/>
      <c r="L33" s="101"/>
      <c r="M33" s="101"/>
      <c r="N33" s="101"/>
      <c r="O33" s="101"/>
      <c r="P33" s="101"/>
      <c r="Q33" s="101"/>
      <c r="R33" s="101"/>
      <c r="S33" s="101"/>
      <c r="T33" s="101"/>
      <c r="U33" s="101"/>
      <c r="V33" s="101"/>
    </row>
    <row r="34" spans="2:22" ht="18" x14ac:dyDescent="0.35">
      <c r="B34" s="660" t="s">
        <v>305</v>
      </c>
      <c r="C34" s="663" t="s">
        <v>306</v>
      </c>
      <c r="D34" s="708">
        <f>'Crossovers and Special Purpose'!F32</f>
        <v>32205</v>
      </c>
      <c r="E34" s="769">
        <f>'Crossovers and Special Purpose'!D32</f>
        <v>2.4965363879402309</v>
      </c>
      <c r="F34" s="702">
        <f>G34/J19</f>
        <v>832.17879598007698</v>
      </c>
      <c r="G34" s="702">
        <f>'Crossovers and Special Purpose'!M32</f>
        <v>8321.7879598007694</v>
      </c>
      <c r="H34" s="705">
        <f>'Crossovers and Special Purpose'!N32</f>
        <v>40526.787959800771</v>
      </c>
      <c r="I34" s="702">
        <f>'Crossovers and Special Purpose'!O32</f>
        <v>4052.6787959800772</v>
      </c>
      <c r="J34" s="837">
        <f>'Crossovers and Special Purpose'!P32</f>
        <v>38.333333333333329</v>
      </c>
      <c r="K34" s="838"/>
      <c r="L34" s="101"/>
      <c r="M34" s="101"/>
      <c r="N34" s="101"/>
      <c r="O34" s="101"/>
      <c r="P34" s="101"/>
      <c r="Q34" s="101"/>
      <c r="R34" s="101"/>
      <c r="S34" s="101"/>
      <c r="T34" s="101"/>
      <c r="U34" s="101"/>
      <c r="V34" s="101"/>
    </row>
    <row r="35" spans="2:22" ht="18.600000000000001" thickBot="1" x14ac:dyDescent="0.4">
      <c r="B35" s="661" t="s">
        <v>307</v>
      </c>
      <c r="C35" s="664" t="s">
        <v>196</v>
      </c>
      <c r="D35" s="709">
        <f>'Crossovers and Special Purpose'!F33</f>
        <v>30035</v>
      </c>
      <c r="E35" s="771">
        <f>'Crossovers and Special Purpose'!D33</f>
        <v>2.4965363879402309</v>
      </c>
      <c r="F35" s="703">
        <f>G35/J19</f>
        <v>312.0670484925289</v>
      </c>
      <c r="G35" s="703">
        <f>'Crossovers and Special Purpose'!M33</f>
        <v>3120.6704849252887</v>
      </c>
      <c r="H35" s="706">
        <f>'Crossovers and Special Purpose'!N33</f>
        <v>33155.670484925286</v>
      </c>
      <c r="I35" s="703">
        <f>'Crossovers and Special Purpose'!O33</f>
        <v>3315.5670484925286</v>
      </c>
      <c r="J35" s="859">
        <f>'Crossovers and Special Purpose'!P33</f>
        <v>14.375</v>
      </c>
      <c r="K35" s="860"/>
      <c r="L35" s="101"/>
      <c r="M35" s="101"/>
      <c r="N35" s="101"/>
      <c r="O35" s="101"/>
      <c r="P35" s="101"/>
      <c r="Q35" s="101"/>
      <c r="R35" s="101"/>
      <c r="S35" s="101"/>
      <c r="T35" s="101"/>
      <c r="U35" s="101"/>
      <c r="V35" s="101"/>
    </row>
    <row r="36" spans="2:22" x14ac:dyDescent="0.3">
      <c r="B36" s="844" t="s">
        <v>245</v>
      </c>
      <c r="C36" s="844"/>
      <c r="D36" s="844"/>
      <c r="E36" s="844"/>
      <c r="F36" s="844"/>
      <c r="G36" s="844"/>
      <c r="H36" s="844"/>
      <c r="I36" s="101"/>
      <c r="J36" s="101"/>
      <c r="K36" s="101"/>
      <c r="L36" s="101"/>
      <c r="M36" s="101"/>
      <c r="N36" s="101"/>
      <c r="O36" s="101"/>
      <c r="P36" s="101"/>
      <c r="Q36" s="101"/>
      <c r="R36" s="101"/>
      <c r="S36" s="101"/>
      <c r="T36" s="101"/>
    </row>
    <row r="37" spans="2:22" ht="18" customHeight="1" x14ac:dyDescent="0.35">
      <c r="B37" s="715" t="s">
        <v>304</v>
      </c>
      <c r="C37" s="716"/>
      <c r="D37" s="101"/>
      <c r="E37" s="101"/>
      <c r="F37" s="101"/>
      <c r="G37" s="101"/>
      <c r="H37" s="101"/>
      <c r="I37" s="101"/>
      <c r="J37" s="101"/>
      <c r="K37" s="101"/>
      <c r="L37" s="101"/>
      <c r="M37" s="101"/>
      <c r="N37" s="101"/>
      <c r="O37" s="101"/>
      <c r="P37" s="101"/>
      <c r="Q37" s="101"/>
      <c r="R37" s="101"/>
      <c r="S37" s="101"/>
      <c r="T37" s="101"/>
    </row>
    <row r="38" spans="2:22" hidden="1" x14ac:dyDescent="0.3">
      <c r="B38" s="717"/>
      <c r="C38" s="718"/>
      <c r="D38" s="101"/>
      <c r="E38" s="101"/>
      <c r="F38" s="101"/>
      <c r="G38" s="101"/>
      <c r="H38" s="101"/>
      <c r="I38" s="101"/>
      <c r="J38" s="101"/>
      <c r="K38" s="101"/>
      <c r="L38" s="101"/>
      <c r="M38" s="101"/>
      <c r="N38" s="101"/>
      <c r="O38" s="101"/>
      <c r="P38" s="101"/>
      <c r="Q38" s="101"/>
      <c r="R38" s="101"/>
      <c r="S38" s="101"/>
      <c r="T38" s="101"/>
    </row>
    <row r="39" spans="2:22" ht="18" customHeight="1" x14ac:dyDescent="0.35">
      <c r="B39" s="719" t="s">
        <v>308</v>
      </c>
      <c r="C39" s="718"/>
      <c r="D39" s="101"/>
      <c r="E39" s="101"/>
      <c r="F39" s="101"/>
      <c r="G39" s="101"/>
      <c r="H39" s="101"/>
      <c r="I39" s="101"/>
      <c r="J39" s="101"/>
      <c r="K39" s="101"/>
      <c r="L39" s="101"/>
      <c r="M39" s="101"/>
      <c r="N39" s="101"/>
      <c r="O39" s="101"/>
      <c r="P39" s="101"/>
      <c r="Q39" s="101"/>
      <c r="R39" s="101"/>
      <c r="S39" s="101"/>
      <c r="T39" s="101"/>
    </row>
    <row r="40" spans="2:22" ht="19.95" customHeight="1" x14ac:dyDescent="0.35">
      <c r="B40" s="720" t="s">
        <v>311</v>
      </c>
      <c r="C40" s="721"/>
      <c r="D40" s="101"/>
      <c r="E40" s="101"/>
      <c r="F40" s="101"/>
      <c r="G40" s="101"/>
      <c r="H40" s="101"/>
      <c r="I40" s="101"/>
      <c r="J40" s="101"/>
      <c r="K40" s="101"/>
      <c r="L40" s="101"/>
      <c r="M40" s="101"/>
      <c r="N40" s="101"/>
      <c r="O40" s="101"/>
      <c r="P40" s="101"/>
      <c r="Q40" s="101"/>
      <c r="R40" s="101"/>
      <c r="S40" s="101"/>
      <c r="T40" s="101"/>
    </row>
    <row r="41" spans="2:22" x14ac:dyDescent="0.3">
      <c r="B41" s="101"/>
      <c r="C41" s="101"/>
      <c r="D41" s="101"/>
      <c r="E41" s="101"/>
      <c r="F41" s="101"/>
      <c r="G41" s="101"/>
      <c r="H41" s="101"/>
      <c r="I41" s="101"/>
      <c r="J41" s="101"/>
      <c r="K41" s="101"/>
      <c r="L41" s="101"/>
      <c r="M41" s="101"/>
      <c r="N41" s="101"/>
      <c r="O41" s="101"/>
      <c r="P41" s="101"/>
      <c r="Q41" s="101"/>
      <c r="R41" s="101"/>
      <c r="S41" s="101"/>
      <c r="T41" s="101"/>
    </row>
    <row r="42" spans="2:22" x14ac:dyDescent="0.3">
      <c r="B42" s="101"/>
      <c r="C42" s="101"/>
      <c r="D42" s="101"/>
      <c r="E42" s="101"/>
      <c r="F42" s="101"/>
      <c r="G42" s="101"/>
      <c r="H42" s="101"/>
      <c r="I42" s="101"/>
      <c r="J42" s="101"/>
      <c r="K42" s="101"/>
      <c r="L42" s="101"/>
      <c r="M42" s="101"/>
      <c r="N42" s="101"/>
      <c r="O42" s="101"/>
      <c r="P42" s="101"/>
      <c r="Q42" s="101"/>
      <c r="R42" s="101"/>
      <c r="S42" s="101"/>
      <c r="T42" s="101"/>
    </row>
    <row r="43" spans="2:22" x14ac:dyDescent="0.3">
      <c r="B43" s="101"/>
      <c r="C43" s="101"/>
      <c r="D43" s="101"/>
      <c r="E43" s="101"/>
      <c r="F43" s="101"/>
      <c r="G43" s="101"/>
      <c r="H43" s="101"/>
      <c r="I43" s="101"/>
      <c r="J43" s="101"/>
      <c r="K43" s="101"/>
      <c r="L43" s="101"/>
      <c r="M43" s="101"/>
      <c r="N43" s="101"/>
      <c r="O43" s="101"/>
      <c r="P43" s="101"/>
      <c r="Q43" s="101"/>
      <c r="R43" s="101"/>
      <c r="S43" s="101"/>
      <c r="T43" s="101"/>
    </row>
    <row r="44" spans="2:22" x14ac:dyDescent="0.3">
      <c r="B44" s="101"/>
      <c r="C44" s="101"/>
      <c r="D44" s="101"/>
      <c r="E44" s="101"/>
      <c r="F44" s="101"/>
      <c r="G44" s="101"/>
      <c r="H44" s="101"/>
      <c r="I44" s="101"/>
      <c r="J44" s="101"/>
      <c r="K44" s="101"/>
      <c r="L44" s="101"/>
      <c r="M44" s="101"/>
      <c r="N44" s="101"/>
      <c r="O44" s="101"/>
      <c r="P44" s="101"/>
      <c r="Q44" s="101"/>
      <c r="R44" s="101"/>
      <c r="S44" s="101"/>
      <c r="T44" s="101"/>
    </row>
    <row r="45" spans="2:22" x14ac:dyDescent="0.3">
      <c r="B45" s="101"/>
      <c r="C45" s="101"/>
      <c r="D45" s="101"/>
      <c r="E45" s="101"/>
      <c r="F45" s="101"/>
      <c r="G45" s="101"/>
      <c r="H45" s="101"/>
      <c r="I45" s="101"/>
      <c r="J45" s="101"/>
      <c r="K45" s="101"/>
      <c r="L45" s="101"/>
      <c r="M45" s="101"/>
      <c r="N45" s="101"/>
      <c r="O45" s="101"/>
      <c r="P45" s="101"/>
      <c r="Q45" s="101"/>
      <c r="R45" s="101"/>
      <c r="S45" s="101"/>
      <c r="T45" s="101"/>
    </row>
    <row r="46" spans="2:22" x14ac:dyDescent="0.3">
      <c r="B46" s="101"/>
      <c r="C46" s="602"/>
      <c r="D46" s="602"/>
      <c r="E46" s="101"/>
      <c r="F46" s="101"/>
      <c r="G46" s="101"/>
      <c r="H46" s="101"/>
      <c r="I46" s="101"/>
      <c r="J46" s="101"/>
      <c r="K46" s="101"/>
      <c r="L46" s="101"/>
      <c r="M46" s="101"/>
      <c r="N46" s="101"/>
      <c r="O46" s="101"/>
      <c r="P46" s="101"/>
      <c r="Q46" s="101"/>
      <c r="R46" s="101"/>
      <c r="S46" s="101"/>
      <c r="T46" s="101"/>
    </row>
    <row r="47" spans="2:22" x14ac:dyDescent="0.3">
      <c r="B47" s="101"/>
      <c r="C47" s="101"/>
      <c r="D47" s="101"/>
      <c r="E47" s="101"/>
      <c r="F47" s="101"/>
      <c r="G47" s="101"/>
      <c r="H47" s="101"/>
      <c r="I47" s="101"/>
      <c r="J47" s="101"/>
      <c r="K47" s="101"/>
      <c r="L47" s="101"/>
      <c r="M47" s="101"/>
      <c r="N47" s="101"/>
      <c r="O47" s="101"/>
      <c r="P47" s="101"/>
      <c r="Q47" s="101"/>
      <c r="R47" s="101"/>
      <c r="S47" s="101"/>
      <c r="T47" s="101"/>
    </row>
    <row r="48" spans="2:22" x14ac:dyDescent="0.3">
      <c r="B48" s="101"/>
      <c r="C48" s="101"/>
      <c r="D48" s="101"/>
      <c r="E48" s="101"/>
      <c r="F48" s="101"/>
      <c r="G48" s="101"/>
      <c r="H48" s="101"/>
      <c r="I48" s="101"/>
      <c r="J48" s="101"/>
      <c r="K48" s="101"/>
      <c r="L48" s="101"/>
      <c r="M48" s="101"/>
      <c r="N48" s="101"/>
      <c r="O48" s="101"/>
      <c r="P48" s="101"/>
      <c r="Q48" s="101"/>
      <c r="R48" s="101"/>
      <c r="S48" s="101"/>
      <c r="T48" s="101"/>
    </row>
    <row r="49" spans="2:20" x14ac:dyDescent="0.3">
      <c r="B49" s="101"/>
      <c r="C49" s="101"/>
      <c r="D49" s="101"/>
      <c r="E49" s="101"/>
      <c r="F49" s="101"/>
      <c r="G49" s="101"/>
      <c r="H49" s="101"/>
      <c r="I49" s="101"/>
      <c r="J49" s="101"/>
      <c r="K49" s="101"/>
      <c r="L49" s="101"/>
      <c r="M49" s="101"/>
      <c r="N49" s="101"/>
      <c r="O49" s="101"/>
      <c r="P49" s="101"/>
      <c r="Q49" s="101"/>
      <c r="R49" s="101"/>
      <c r="S49" s="101"/>
      <c r="T49" s="101"/>
    </row>
    <row r="50" spans="2:20" x14ac:dyDescent="0.3">
      <c r="B50" s="101"/>
      <c r="C50" s="101"/>
      <c r="D50" s="101"/>
      <c r="E50" s="101"/>
      <c r="F50" s="101"/>
      <c r="G50" s="101"/>
      <c r="H50" s="101"/>
      <c r="I50" s="101"/>
      <c r="J50" s="101"/>
      <c r="K50" s="101"/>
      <c r="L50" s="101"/>
      <c r="M50" s="101"/>
      <c r="N50" s="101"/>
      <c r="O50" s="101"/>
      <c r="P50" s="101"/>
      <c r="Q50" s="101"/>
      <c r="R50" s="101"/>
      <c r="S50" s="101"/>
      <c r="T50" s="101"/>
    </row>
    <row r="51" spans="2:20" x14ac:dyDescent="0.3">
      <c r="B51" s="101"/>
      <c r="C51" s="101"/>
      <c r="D51" s="101"/>
      <c r="E51" s="101"/>
      <c r="F51" s="101"/>
      <c r="G51" s="101"/>
      <c r="H51" s="101"/>
      <c r="I51" s="101"/>
      <c r="J51" s="101"/>
      <c r="K51" s="101"/>
      <c r="L51" s="101"/>
      <c r="M51" s="101"/>
      <c r="N51" s="101"/>
      <c r="O51" s="101"/>
      <c r="P51" s="101"/>
      <c r="Q51" s="101"/>
      <c r="R51" s="101"/>
      <c r="S51" s="101"/>
      <c r="T51" s="101"/>
    </row>
    <row r="52" spans="2:20" x14ac:dyDescent="0.3">
      <c r="B52" s="101"/>
      <c r="C52" s="101"/>
      <c r="D52" s="101"/>
      <c r="E52" s="101"/>
      <c r="F52" s="101"/>
      <c r="G52" s="101"/>
      <c r="H52" s="101"/>
      <c r="I52" s="101"/>
      <c r="J52" s="101"/>
      <c r="K52" s="101"/>
      <c r="L52" s="101"/>
      <c r="M52" s="101"/>
      <c r="N52" s="101"/>
      <c r="O52" s="101"/>
      <c r="P52" s="101"/>
      <c r="Q52" s="101"/>
      <c r="R52" s="101"/>
      <c r="S52" s="101"/>
      <c r="T52" s="101"/>
    </row>
    <row r="53" spans="2:20" x14ac:dyDescent="0.3">
      <c r="B53" s="101"/>
      <c r="C53" s="101"/>
      <c r="D53" s="101"/>
      <c r="E53" s="101"/>
      <c r="F53" s="101"/>
      <c r="G53" s="101"/>
      <c r="H53" s="101"/>
      <c r="I53" s="101"/>
      <c r="J53" s="101"/>
      <c r="K53" s="101"/>
      <c r="L53" s="101"/>
      <c r="M53" s="101"/>
      <c r="N53" s="101"/>
      <c r="O53" s="101"/>
      <c r="P53" s="101"/>
      <c r="Q53" s="101"/>
      <c r="R53" s="101"/>
      <c r="S53" s="101"/>
      <c r="T53" s="101"/>
    </row>
    <row r="54" spans="2:20" x14ac:dyDescent="0.3">
      <c r="B54" s="101"/>
      <c r="C54" s="101"/>
      <c r="D54" s="101"/>
      <c r="E54" s="101"/>
      <c r="F54" s="101"/>
      <c r="G54" s="101"/>
      <c r="H54" s="101"/>
      <c r="I54" s="101"/>
      <c r="J54" s="101"/>
      <c r="K54" s="101"/>
      <c r="L54" s="101"/>
      <c r="M54" s="101"/>
      <c r="N54" s="101"/>
      <c r="O54" s="101"/>
      <c r="P54" s="101"/>
      <c r="Q54" s="101"/>
      <c r="R54" s="101"/>
      <c r="S54" s="101"/>
      <c r="T54" s="101"/>
    </row>
    <row r="55" spans="2:20" x14ac:dyDescent="0.3">
      <c r="B55" s="101"/>
      <c r="C55" s="101"/>
      <c r="D55" s="101"/>
      <c r="E55" s="101"/>
      <c r="F55" s="101"/>
      <c r="G55" s="101"/>
      <c r="H55" s="101"/>
      <c r="I55" s="101"/>
      <c r="J55" s="101"/>
      <c r="K55" s="101"/>
      <c r="L55" s="101"/>
      <c r="M55" s="101"/>
      <c r="N55" s="101"/>
      <c r="O55" s="101"/>
      <c r="P55" s="101"/>
      <c r="Q55" s="101"/>
      <c r="R55" s="101"/>
      <c r="S55" s="101"/>
      <c r="T55" s="101"/>
    </row>
    <row r="56" spans="2:20" x14ac:dyDescent="0.3">
      <c r="B56" s="101"/>
      <c r="C56" s="101"/>
      <c r="D56" s="101"/>
      <c r="E56" s="101"/>
      <c r="F56" s="101"/>
      <c r="G56" s="101"/>
      <c r="H56" s="101"/>
      <c r="I56" s="101"/>
      <c r="J56" s="101"/>
      <c r="K56" s="101"/>
      <c r="L56" s="101"/>
      <c r="M56" s="101"/>
      <c r="N56" s="101"/>
      <c r="O56" s="101"/>
      <c r="P56" s="101"/>
      <c r="Q56" s="101"/>
      <c r="R56" s="101"/>
      <c r="S56" s="101"/>
      <c r="T56" s="101"/>
    </row>
    <row r="57" spans="2:20" x14ac:dyDescent="0.3">
      <c r="B57" s="101"/>
      <c r="C57" s="101"/>
      <c r="D57" s="101"/>
      <c r="E57" s="101"/>
      <c r="F57" s="101"/>
      <c r="G57" s="101"/>
      <c r="H57" s="101"/>
      <c r="I57" s="101"/>
      <c r="J57" s="101"/>
      <c r="K57" s="101"/>
      <c r="L57" s="101"/>
      <c r="M57" s="101"/>
      <c r="N57" s="101"/>
      <c r="O57" s="101"/>
      <c r="P57" s="101"/>
      <c r="Q57" s="101"/>
      <c r="R57" s="101"/>
      <c r="S57" s="101"/>
      <c r="T57" s="101"/>
    </row>
    <row r="58" spans="2:20" x14ac:dyDescent="0.3">
      <c r="B58" s="101"/>
      <c r="C58" s="101"/>
      <c r="D58" s="101"/>
      <c r="E58" s="101"/>
      <c r="F58" s="101"/>
      <c r="G58" s="101"/>
      <c r="H58" s="101"/>
      <c r="I58" s="101"/>
      <c r="J58" s="101"/>
      <c r="K58" s="101"/>
      <c r="L58" s="101"/>
      <c r="M58" s="101"/>
      <c r="N58" s="101"/>
      <c r="O58" s="101"/>
      <c r="P58" s="101"/>
      <c r="Q58" s="101"/>
      <c r="R58" s="101"/>
      <c r="S58" s="101"/>
      <c r="T58" s="101"/>
    </row>
    <row r="59" spans="2:20" x14ac:dyDescent="0.3">
      <c r="B59" s="101"/>
      <c r="C59" s="101"/>
      <c r="D59" s="101"/>
      <c r="E59" s="101"/>
      <c r="F59" s="101"/>
      <c r="G59" s="101"/>
      <c r="H59" s="101"/>
      <c r="I59" s="101"/>
      <c r="J59" s="101"/>
      <c r="K59" s="101"/>
      <c r="L59" s="101"/>
      <c r="M59" s="101"/>
      <c r="N59" s="101"/>
      <c r="O59" s="101"/>
      <c r="P59" s="101"/>
      <c r="Q59" s="101"/>
      <c r="R59" s="101"/>
      <c r="S59" s="101"/>
      <c r="T59" s="101"/>
    </row>
    <row r="60" spans="2:20" x14ac:dyDescent="0.3">
      <c r="B60" s="101"/>
      <c r="C60" s="101"/>
      <c r="D60" s="101"/>
      <c r="E60" s="101"/>
      <c r="F60" s="101"/>
      <c r="G60" s="101"/>
      <c r="H60" s="101"/>
      <c r="I60" s="101"/>
      <c r="J60" s="101"/>
      <c r="K60" s="101"/>
      <c r="L60" s="101"/>
      <c r="M60" s="101"/>
      <c r="N60" s="101"/>
      <c r="O60" s="101"/>
      <c r="P60" s="101"/>
      <c r="Q60" s="101"/>
      <c r="R60" s="101"/>
      <c r="S60" s="101"/>
      <c r="T60" s="101"/>
    </row>
    <row r="61" spans="2:20" x14ac:dyDescent="0.3">
      <c r="B61" s="101"/>
      <c r="C61" s="101"/>
      <c r="D61" s="101"/>
      <c r="E61" s="101"/>
      <c r="F61" s="101"/>
      <c r="G61" s="101"/>
      <c r="H61" s="101"/>
      <c r="I61" s="101"/>
      <c r="J61" s="101"/>
      <c r="K61" s="101"/>
      <c r="L61" s="101"/>
      <c r="M61" s="101"/>
      <c r="N61" s="101"/>
      <c r="O61" s="101"/>
      <c r="P61" s="101"/>
      <c r="Q61" s="101"/>
      <c r="R61" s="101"/>
      <c r="S61" s="101"/>
      <c r="T61" s="101"/>
    </row>
  </sheetData>
  <mergeCells count="38">
    <mergeCell ref="M20:M21"/>
    <mergeCell ref="B20:B21"/>
    <mergeCell ref="J34:K34"/>
    <mergeCell ref="J29:K29"/>
    <mergeCell ref="J30:K30"/>
    <mergeCell ref="G20:G21"/>
    <mergeCell ref="H20:H21"/>
    <mergeCell ref="I20:I21"/>
    <mergeCell ref="L20:L21"/>
    <mergeCell ref="E20:E21"/>
    <mergeCell ref="B2:D2"/>
    <mergeCell ref="J11:K11"/>
    <mergeCell ref="B4:E5"/>
    <mergeCell ref="B6:E7"/>
    <mergeCell ref="B10:H10"/>
    <mergeCell ref="F4:F5"/>
    <mergeCell ref="F6:F7"/>
    <mergeCell ref="B18:K18"/>
    <mergeCell ref="B36:H36"/>
    <mergeCell ref="J12:K12"/>
    <mergeCell ref="J14:K14"/>
    <mergeCell ref="F20:F21"/>
    <mergeCell ref="J20:K21"/>
    <mergeCell ref="J22:K22"/>
    <mergeCell ref="J23:K23"/>
    <mergeCell ref="J24:K24"/>
    <mergeCell ref="J25:K25"/>
    <mergeCell ref="J26:K26"/>
    <mergeCell ref="J27:K27"/>
    <mergeCell ref="J28:K28"/>
    <mergeCell ref="D20:D21"/>
    <mergeCell ref="C20:C21"/>
    <mergeCell ref="J35:K35"/>
    <mergeCell ref="J19:K19"/>
    <mergeCell ref="J31:K31"/>
    <mergeCell ref="G19:I19"/>
    <mergeCell ref="J32:K32"/>
    <mergeCell ref="J33:K33"/>
  </mergeCells>
  <dataValidations count="2">
    <dataValidation type="list" allowBlank="1" showInputMessage="1" showErrorMessage="1" sqref="S23:S24 J12">
      <formula1>$S$23:$S$24</formula1>
    </dataValidation>
    <dataValidation type="list" allowBlank="1" showInputMessage="1" showErrorMessage="1" sqref="C12">
      <formula1>$R$23:$R$27</formula1>
    </dataValidation>
  </dataValidation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3"/>
  <sheetViews>
    <sheetView zoomScale="65" zoomScaleNormal="65" zoomScaleSheetLayoutView="100" zoomScalePageLayoutView="65" workbookViewId="0">
      <selection activeCell="I9" sqref="I9"/>
    </sheetView>
  </sheetViews>
  <sheetFormatPr defaultColWidth="8.6640625" defaultRowHeight="14.4" x14ac:dyDescent="0.3"/>
  <cols>
    <col min="1" max="1" width="8.6640625" customWidth="1"/>
    <col min="2" max="2" width="52.44140625" customWidth="1"/>
    <col min="3" max="3" width="16.44140625" customWidth="1"/>
    <col min="4" max="4" width="17.44140625" customWidth="1"/>
    <col min="5" max="5" width="16" customWidth="1"/>
    <col min="6" max="6" width="18.44140625" customWidth="1"/>
    <col min="7" max="7" width="11.6640625" customWidth="1"/>
    <col min="8" max="8" width="19.44140625" style="21" customWidth="1"/>
    <col min="9" max="9" width="19.44140625" style="111" customWidth="1"/>
    <col min="10" max="13" width="15.6640625" customWidth="1"/>
    <col min="14" max="14" width="14" customWidth="1"/>
    <col min="15" max="15" width="17.33203125" customWidth="1"/>
    <col min="16" max="16" width="18.109375" customWidth="1"/>
    <col min="17" max="17" width="15" style="1" customWidth="1"/>
    <col min="18" max="18" width="19.33203125" style="1" customWidth="1"/>
    <col min="19" max="19" width="18.44140625" style="20" customWidth="1"/>
    <col min="20" max="20" width="4.109375" style="20" customWidth="1"/>
    <col min="21" max="21" width="19.44140625" style="20" customWidth="1"/>
    <col min="22" max="22" width="15" hidden="1" customWidth="1"/>
    <col min="23" max="23" width="15.33203125" hidden="1" customWidth="1"/>
    <col min="24" max="24" width="20" style="21" hidden="1" customWidth="1"/>
    <col min="25" max="25" width="30.109375" style="21" bestFit="1" customWidth="1"/>
    <col min="27" max="27" width="23" bestFit="1" customWidth="1"/>
  </cols>
  <sheetData>
    <row r="1" spans="1:65" ht="32.700000000000003" customHeight="1" thickBot="1" x14ac:dyDescent="0.45">
      <c r="B1" s="932" t="s">
        <v>0</v>
      </c>
      <c r="C1" s="933"/>
      <c r="D1" s="933"/>
      <c r="E1" s="933"/>
      <c r="F1" s="933"/>
      <c r="G1" s="933"/>
      <c r="H1" s="933"/>
      <c r="I1" s="933"/>
      <c r="J1" s="927"/>
      <c r="O1" s="925" t="s">
        <v>239</v>
      </c>
      <c r="P1" s="926"/>
      <c r="Q1" s="926"/>
      <c r="R1" s="926"/>
      <c r="S1" s="927"/>
      <c r="T1"/>
      <c r="U1"/>
      <c r="X1"/>
      <c r="Y1" s="953" t="s">
        <v>220</v>
      </c>
      <c r="Z1" s="954"/>
      <c r="AA1" s="954"/>
      <c r="AB1" s="954"/>
      <c r="AC1" s="955"/>
    </row>
    <row r="2" spans="1:65" s="10" customFormat="1" ht="19.95" customHeight="1" x14ac:dyDescent="0.4">
      <c r="A2"/>
      <c r="B2" s="734" t="s">
        <v>1</v>
      </c>
      <c r="C2" s="735"/>
      <c r="D2" s="735"/>
      <c r="E2" s="735"/>
      <c r="F2" s="735"/>
      <c r="G2" s="959" t="s">
        <v>2</v>
      </c>
      <c r="H2" s="960"/>
      <c r="I2" s="960"/>
      <c r="J2" s="736">
        <f>+S2*(1+F2)</f>
        <v>1.5091493431777381</v>
      </c>
      <c r="K2"/>
      <c r="L2"/>
      <c r="M2"/>
      <c r="N2"/>
      <c r="O2" s="734" t="s">
        <v>1</v>
      </c>
      <c r="P2" s="735"/>
      <c r="Q2" s="743"/>
      <c r="R2" s="743"/>
      <c r="S2" s="744">
        <f>IF('Enter Your Data'!$J$19=6,(Calculations!Q21),(Calculations!P21))</f>
        <v>1.5091493431777381</v>
      </c>
      <c r="T2" s="11"/>
      <c r="U2" s="11"/>
      <c r="V2" s="11"/>
      <c r="W2" s="11"/>
      <c r="X2" s="11"/>
      <c r="Y2" s="647" t="s">
        <v>1</v>
      </c>
      <c r="Z2" s="648"/>
      <c r="AA2" s="649"/>
      <c r="AB2" s="649"/>
      <c r="AC2" s="642">
        <f>'Enter Your Data'!I3</f>
        <v>1.65</v>
      </c>
    </row>
    <row r="3" spans="1:65" s="10" customFormat="1" ht="21" x14ac:dyDescent="0.4">
      <c r="A3"/>
      <c r="B3" s="737" t="s">
        <v>3</v>
      </c>
      <c r="C3" s="738"/>
      <c r="D3" s="738"/>
      <c r="E3" s="738"/>
      <c r="F3" s="738"/>
      <c r="G3" s="961"/>
      <c r="H3" s="962"/>
      <c r="I3" s="962"/>
      <c r="J3" s="739">
        <f>+S3*(1+F3)</f>
        <v>2.4965363879402309</v>
      </c>
      <c r="K3"/>
      <c r="L3"/>
      <c r="M3"/>
      <c r="N3"/>
      <c r="O3" s="737" t="s">
        <v>221</v>
      </c>
      <c r="P3" s="738"/>
      <c r="Q3" s="745"/>
      <c r="R3" s="745"/>
      <c r="S3" s="746">
        <f>IF('Enter Your Data'!$J$19=6,(Calculations!Q22),(Calculations!P22))</f>
        <v>2.4965363879402309</v>
      </c>
      <c r="T3" s="11"/>
      <c r="U3" s="11"/>
      <c r="V3" s="11"/>
      <c r="W3" s="11"/>
      <c r="X3" s="11"/>
      <c r="Y3" s="650" t="s">
        <v>221</v>
      </c>
      <c r="Z3" s="651"/>
      <c r="AA3" s="652"/>
      <c r="AB3" s="652"/>
      <c r="AC3" s="643">
        <f>'Enter Your Data'!I4</f>
        <v>2.2799999999999998</v>
      </c>
    </row>
    <row r="4" spans="1:65" s="10" customFormat="1" ht="21" x14ac:dyDescent="0.4">
      <c r="A4"/>
      <c r="B4" s="737" t="s">
        <v>4</v>
      </c>
      <c r="C4" s="738"/>
      <c r="D4" s="738"/>
      <c r="E4" s="738"/>
      <c r="F4" s="738"/>
      <c r="G4" s="961"/>
      <c r="H4" s="962"/>
      <c r="I4" s="962"/>
      <c r="J4" s="739">
        <f>+S4*(1+F4)</f>
        <v>2.3322905729441636</v>
      </c>
      <c r="K4"/>
      <c r="L4"/>
      <c r="M4"/>
      <c r="N4"/>
      <c r="O4" s="737" t="s">
        <v>4</v>
      </c>
      <c r="P4" s="738"/>
      <c r="Q4" s="745"/>
      <c r="R4" s="745"/>
      <c r="S4" s="746">
        <f>IF('Enter Your Data'!$J$19=6,(Calculations!Q23),(Calculations!P23))</f>
        <v>2.3322905729441636</v>
      </c>
      <c r="T4" s="11"/>
      <c r="U4" s="11"/>
      <c r="V4" s="11"/>
      <c r="W4" s="11"/>
      <c r="X4" s="11"/>
      <c r="Y4" s="650" t="s">
        <v>4</v>
      </c>
      <c r="Z4" s="651"/>
      <c r="AA4" s="652"/>
      <c r="AB4" s="652"/>
      <c r="AC4" s="643">
        <f>'Enter Your Data'!I5</f>
        <v>2.13</v>
      </c>
    </row>
    <row r="5" spans="1:65" s="10" customFormat="1" ht="21" customHeight="1" x14ac:dyDescent="0.4">
      <c r="A5"/>
      <c r="B5" s="737" t="s">
        <v>5</v>
      </c>
      <c r="C5" s="738"/>
      <c r="D5" s="738"/>
      <c r="E5" s="738"/>
      <c r="F5" s="738"/>
      <c r="G5" s="961"/>
      <c r="H5" s="962"/>
      <c r="I5" s="962"/>
      <c r="J5" s="739">
        <f>(1+F5)*33.7*('Enter Your Data'!I8*S5+(1-'Enter Your Data'!I8)*S6)</f>
        <v>5.904089563058653</v>
      </c>
      <c r="K5"/>
      <c r="L5"/>
      <c r="M5"/>
      <c r="N5"/>
      <c r="O5" s="737" t="s">
        <v>314</v>
      </c>
      <c r="P5" s="738"/>
      <c r="Q5" s="745"/>
      <c r="R5" s="745"/>
      <c r="S5" s="746">
        <f>IF('Enter Your Data'!$J$19=6,(Calculations!Q24),(Calculations!P24))</f>
        <v>4.9999999999999996E-2</v>
      </c>
      <c r="T5" s="11"/>
      <c r="U5" s="11"/>
      <c r="V5" s="11"/>
      <c r="W5" s="11"/>
      <c r="X5" s="11"/>
      <c r="Y5" s="650" t="s">
        <v>6</v>
      </c>
      <c r="Z5" s="651"/>
      <c r="AA5" s="652"/>
      <c r="AB5" s="652"/>
      <c r="AC5" s="643">
        <f>'Enter Your Data'!I6</f>
        <v>0.05</v>
      </c>
    </row>
    <row r="6" spans="1:65" s="10" customFormat="1" ht="21" customHeight="1" thickBot="1" x14ac:dyDescent="0.45">
      <c r="A6"/>
      <c r="B6" s="740" t="s">
        <v>7</v>
      </c>
      <c r="C6" s="741"/>
      <c r="D6" s="741"/>
      <c r="E6" s="741"/>
      <c r="F6" s="741"/>
      <c r="G6" s="963"/>
      <c r="H6" s="964"/>
      <c r="I6" s="964"/>
      <c r="J6" s="742" t="s">
        <v>8</v>
      </c>
      <c r="K6"/>
      <c r="L6"/>
      <c r="M6"/>
      <c r="N6"/>
      <c r="O6" s="740" t="s">
        <v>9</v>
      </c>
      <c r="P6" s="741"/>
      <c r="Q6" s="747"/>
      <c r="R6" s="747"/>
      <c r="S6" s="762">
        <f>IF('Enter Your Data'!$J$19=6,(Calculations!Q25),(Calculations!P25))</f>
        <v>0.1751955359958057</v>
      </c>
      <c r="T6" s="11"/>
      <c r="U6" s="11"/>
      <c r="V6" s="11"/>
      <c r="W6" s="11"/>
      <c r="X6" s="11"/>
      <c r="Y6" s="653" t="s">
        <v>9</v>
      </c>
      <c r="Z6" s="654"/>
      <c r="AA6" s="655"/>
      <c r="AB6" s="655"/>
      <c r="AC6" s="646">
        <f>'Enter Your Data'!I7</f>
        <v>0.16</v>
      </c>
    </row>
    <row r="7" spans="1:65" s="10" customFormat="1" ht="21" customHeight="1" x14ac:dyDescent="0.3">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row>
    <row r="8" spans="1:65" s="61" customFormat="1" ht="21" customHeight="1" thickBot="1" x14ac:dyDescent="0.35">
      <c r="A8"/>
      <c r="B8"/>
      <c r="C8"/>
      <c r="D8"/>
      <c r="E8"/>
      <c r="F8"/>
      <c r="G8"/>
      <c r="H8"/>
      <c r="I8"/>
      <c r="J8"/>
      <c r="K8"/>
      <c r="L8"/>
      <c r="M8"/>
      <c r="N8"/>
      <c r="O8"/>
      <c r="P8"/>
      <c r="Q8"/>
      <c r="R8"/>
      <c r="S8"/>
      <c r="T8"/>
      <c r="U8" s="11"/>
      <c r="V8" s="11"/>
      <c r="W8" s="11"/>
      <c r="X8" s="11"/>
      <c r="Y8" s="11"/>
      <c r="Z8" s="11"/>
      <c r="AA8" s="11"/>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row>
    <row r="9" spans="1:65" s="61" customFormat="1" ht="21" customHeight="1" thickBot="1" x14ac:dyDescent="0.45">
      <c r="A9"/>
      <c r="B9" s="971" t="s">
        <v>10</v>
      </c>
      <c r="C9" s="972"/>
      <c r="D9" s="972"/>
      <c r="E9" s="625"/>
      <c r="F9" s="928">
        <f>'Enter Your Data'!F4</f>
        <v>5000</v>
      </c>
      <c r="G9"/>
      <c r="H9"/>
      <c r="I9" s="602"/>
      <c r="J9"/>
      <c r="K9"/>
      <c r="L9"/>
      <c r="M9"/>
      <c r="N9"/>
      <c r="O9"/>
      <c r="P9"/>
      <c r="Q9"/>
      <c r="R9"/>
      <c r="S9"/>
      <c r="T9"/>
      <c r="U9" s="11"/>
      <c r="V9" s="11"/>
      <c r="W9" s="11"/>
      <c r="X9" s="11"/>
      <c r="Y9" s="11"/>
      <c r="Z9" s="11"/>
      <c r="AA9" s="11"/>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row>
    <row r="10" spans="1:65" s="61" customFormat="1" ht="21" customHeight="1" thickBot="1" x14ac:dyDescent="0.55000000000000004">
      <c r="A10"/>
      <c r="B10" s="973"/>
      <c r="C10" s="974"/>
      <c r="D10" s="974"/>
      <c r="E10" s="626"/>
      <c r="F10" s="929"/>
      <c r="G10"/>
      <c r="H10"/>
      <c r="I10"/>
      <c r="J10"/>
      <c r="K10"/>
      <c r="L10"/>
      <c r="M10"/>
      <c r="N10"/>
      <c r="O10"/>
      <c r="P10"/>
      <c r="Q10"/>
      <c r="R10"/>
      <c r="S10" s="893" t="s">
        <v>11</v>
      </c>
      <c r="T10" s="894"/>
      <c r="U10" s="895"/>
      <c r="V10" s="259"/>
      <c r="W10" s="259"/>
      <c r="X10" s="260" t="s">
        <v>12</v>
      </c>
      <c r="Y10" s="11"/>
      <c r="Z10" s="11"/>
      <c r="AA10" s="11"/>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row>
    <row r="11" spans="1:65" s="10" customFormat="1" ht="21.6" thickBot="1" x14ac:dyDescent="0.45">
      <c r="A11"/>
      <c r="B11" s="627" t="s">
        <v>13</v>
      </c>
      <c r="C11" s="628"/>
      <c r="D11" s="628"/>
      <c r="E11" s="628"/>
      <c r="F11" s="629">
        <f>F9/365</f>
        <v>13.698630136986301</v>
      </c>
      <c r="G11"/>
      <c r="H11"/>
      <c r="I11"/>
      <c r="J11"/>
      <c r="K11"/>
      <c r="L11"/>
      <c r="M11"/>
      <c r="N11" s="965" t="s">
        <v>293</v>
      </c>
      <c r="O11" s="966"/>
      <c r="P11" s="966"/>
      <c r="Q11" s="969">
        <f>'Enter Your Data'!J19</f>
        <v>10</v>
      </c>
      <c r="R11"/>
      <c r="S11" s="910" t="s">
        <v>14</v>
      </c>
      <c r="T11" s="911"/>
      <c r="U11" s="911"/>
      <c r="V11" s="894"/>
      <c r="W11" s="894"/>
      <c r="X11" s="912"/>
      <c r="Y11" s="11"/>
      <c r="Z11" s="11"/>
      <c r="AA11" s="11"/>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row>
    <row r="12" spans="1:65" s="10" customFormat="1" ht="18.600000000000001" thickBot="1" x14ac:dyDescent="0.4">
      <c r="A12"/>
      <c r="B12"/>
      <c r="C12"/>
      <c r="D12"/>
      <c r="E12"/>
      <c r="F12"/>
      <c r="G12"/>
      <c r="H12"/>
      <c r="I12"/>
      <c r="J12"/>
      <c r="K12"/>
      <c r="L12"/>
      <c r="M12"/>
      <c r="N12" s="967"/>
      <c r="O12" s="968"/>
      <c r="P12" s="968"/>
      <c r="Q12" s="970"/>
      <c r="R12"/>
      <c r="S12" s="915" t="s">
        <v>15</v>
      </c>
      <c r="T12" s="916"/>
      <c r="U12" s="917"/>
      <c r="V12" s="167"/>
      <c r="W12" s="167"/>
      <c r="X12" s="168"/>
      <c r="Y12" s="11"/>
      <c r="Z12" s="11"/>
      <c r="AA12" s="11"/>
      <c r="AB12" s="4"/>
      <c r="AC12" s="4"/>
      <c r="AD12" s="4"/>
      <c r="AE12" s="4"/>
      <c r="AF12" s="4"/>
      <c r="AG12" s="4"/>
    </row>
    <row r="13" spans="1:65" ht="72" x14ac:dyDescent="0.35">
      <c r="A13" s="934"/>
      <c r="B13" s="896" t="s">
        <v>16</v>
      </c>
      <c r="C13" s="938" t="s">
        <v>17</v>
      </c>
      <c r="D13" s="941" t="s">
        <v>18</v>
      </c>
      <c r="E13" s="941" t="s">
        <v>19</v>
      </c>
      <c r="F13" s="913" t="s">
        <v>20</v>
      </c>
      <c r="G13" s="922" t="s">
        <v>21</v>
      </c>
      <c r="H13" s="913" t="s">
        <v>22</v>
      </c>
      <c r="I13" s="922" t="s">
        <v>23</v>
      </c>
      <c r="J13" s="922" t="s">
        <v>24</v>
      </c>
      <c r="K13" s="922" t="s">
        <v>25</v>
      </c>
      <c r="L13" s="922" t="s">
        <v>26</v>
      </c>
      <c r="M13" s="922" t="s">
        <v>285</v>
      </c>
      <c r="N13" s="978" t="s">
        <v>291</v>
      </c>
      <c r="O13" s="920" t="s">
        <v>28</v>
      </c>
      <c r="P13" s="920" t="s">
        <v>29</v>
      </c>
      <c r="Q13" s="918" t="s">
        <v>30</v>
      </c>
      <c r="R13"/>
      <c r="S13" s="169" t="s">
        <v>31</v>
      </c>
      <c r="T13" s="165"/>
      <c r="U13" s="170" t="s">
        <v>32</v>
      </c>
      <c r="V13" s="170" t="s">
        <v>33</v>
      </c>
      <c r="W13" s="171" t="s">
        <v>34</v>
      </c>
      <c r="X13" s="172" t="s">
        <v>35</v>
      </c>
      <c r="Y13" s="11"/>
      <c r="Z13" s="11"/>
      <c r="AA13" s="11"/>
      <c r="AB13" s="4"/>
      <c r="AC13" s="4"/>
      <c r="AD13" s="4"/>
      <c r="AE13" s="4"/>
      <c r="AF13" s="4"/>
      <c r="AG13" s="4"/>
    </row>
    <row r="14" spans="1:65" ht="21" x14ac:dyDescent="0.4">
      <c r="A14" s="935"/>
      <c r="B14" s="897"/>
      <c r="C14" s="939"/>
      <c r="D14" s="942"/>
      <c r="E14" s="942"/>
      <c r="F14" s="914"/>
      <c r="G14" s="923"/>
      <c r="H14" s="914"/>
      <c r="I14" s="923"/>
      <c r="J14" s="940"/>
      <c r="K14" s="940"/>
      <c r="L14" s="923"/>
      <c r="M14" s="923"/>
      <c r="N14" s="921"/>
      <c r="O14" s="921"/>
      <c r="P14" s="921"/>
      <c r="Q14" s="919"/>
      <c r="R14"/>
      <c r="S14" s="173" t="s">
        <v>36</v>
      </c>
      <c r="T14" s="166"/>
      <c r="U14" s="174" t="s">
        <v>37</v>
      </c>
      <c r="V14" s="175"/>
      <c r="W14" s="176"/>
      <c r="X14" s="177" t="s">
        <v>37</v>
      </c>
      <c r="Y14" s="610"/>
      <c r="Z14" s="4"/>
      <c r="AA14" s="4"/>
      <c r="AB14" s="4"/>
    </row>
    <row r="15" spans="1:65" ht="33" customHeight="1" x14ac:dyDescent="0.4">
      <c r="A15" s="936" t="s">
        <v>38</v>
      </c>
      <c r="B15" s="153" t="s">
        <v>39</v>
      </c>
      <c r="C15" s="153" t="s">
        <v>40</v>
      </c>
      <c r="D15" s="346">
        <f>IF(C15="gasoline",$J$3,IF(C15="electric",$J$5, IF(C15="cng",$J$2, IF(C15="biodiesel",$J$4,IF(C15="bicycle",$J$7,IF(C15="diesel",$J$4, IF(C15="plug-in", $J$6)))))))</f>
        <v>5.904089563058653</v>
      </c>
      <c r="E15" s="357">
        <f>IF($C15="gasoline",$S$76,IF($C15="electric",0,IF($C15="cng",$S$77,IF($C15="biodiesel",$S$80,IF($C15="diesel",$S$79,IF($C15="plug-in",$S$81))))))</f>
        <v>0</v>
      </c>
      <c r="F15" s="348">
        <f>23800-G15</f>
        <v>16300</v>
      </c>
      <c r="G15" s="686">
        <f>IF(C15="electric",'Enter Your Data'!$J$14,IF(C15="plug-in",'Enter Your Data'!$J$14,0))</f>
        <v>7500</v>
      </c>
      <c r="H15" s="359">
        <f>F9</f>
        <v>5000</v>
      </c>
      <c r="I15" s="359">
        <f>$F$11</f>
        <v>13.698630136986301</v>
      </c>
      <c r="J15" s="265">
        <v>124</v>
      </c>
      <c r="K15" s="265">
        <v>10</v>
      </c>
      <c r="L15" s="599">
        <f>IF(C15="electric",(I15/J15)*$J$5,IF(C15="gasoline",(I15/J15)*$J$3,IF(C15="biodiesel",(I15/J15)*$J$4,IF(C15="cng",(I15/J15)*$J$2,0))))</f>
        <v>0.65224144532243178</v>
      </c>
      <c r="M15" s="691">
        <f>L15*365</f>
        <v>238.06812754268759</v>
      </c>
      <c r="N15" s="354">
        <f>+($H15/$J15)*Q$11*$D15</f>
        <v>2380.6812754268758</v>
      </c>
      <c r="O15" s="354">
        <f t="shared" ref="O15:O16" si="0">+$F15+$N15</f>
        <v>18680.681275426876</v>
      </c>
      <c r="P15" s="354">
        <f t="shared" ref="P15:P16" si="1">+$O15/Q$11</f>
        <v>1868.0681275426875</v>
      </c>
      <c r="Q15" s="225">
        <f t="shared" ref="Q15:Q16" si="2">+((Q$11*($H15/$J15)*$E15)/2000)</f>
        <v>0</v>
      </c>
      <c r="R15"/>
      <c r="S15" s="774">
        <f t="shared" ref="S15:S23" si="3">$O$21-O15</f>
        <v>505.2127044735098</v>
      </c>
      <c r="T15" s="775"/>
      <c r="U15" s="776">
        <f>O16-O15</f>
        <v>-248.05038460834476</v>
      </c>
      <c r="V15" s="175"/>
      <c r="W15" s="176"/>
      <c r="X15" s="177"/>
      <c r="Y15" s="4"/>
      <c r="Z15" s="4"/>
      <c r="AA15" s="4"/>
      <c r="AB15" s="4"/>
    </row>
    <row r="16" spans="1:65" s="101" customFormat="1" ht="31.95" customHeight="1" thickBot="1" x14ac:dyDescent="0.4">
      <c r="A16" s="937"/>
      <c r="B16" s="148" t="s">
        <v>41</v>
      </c>
      <c r="C16" s="148" t="s">
        <v>42</v>
      </c>
      <c r="D16" s="487">
        <f t="shared" ref="D16:D45" si="4">IF(C16="gasoline",$J$3,IF(C16="electric",$J$5, IF(C16="cng",$J$2, IF(C16="biodiesel",$J$4,IF(C16="bicycle",$J$7,IF(C16="diesel",$J$4, IF(C16="plug-in", $J$6)))))))</f>
        <v>2.4965363879402309</v>
      </c>
      <c r="E16" s="488">
        <f>IF($C16="gasoline",$S$76,IF($C16="electric",0,IF($C16="cng",$S$77,IF($C16="biodiesel",$S$80,IF($C16="diesel",$S$79,IF($C16="plug-in",$S$81))))))</f>
        <v>23</v>
      </c>
      <c r="F16" s="496">
        <f>14650-G16</f>
        <v>14650</v>
      </c>
      <c r="G16" s="686">
        <f>IF(C16="electric",'Enter Your Data'!$J$14,IF(C16="plug-in",'Enter Your Data'!$J$14,0))</f>
        <v>0</v>
      </c>
      <c r="H16" s="497">
        <f>F9</f>
        <v>5000</v>
      </c>
      <c r="I16" s="498">
        <f>$F$11</f>
        <v>13.698630136986301</v>
      </c>
      <c r="J16" s="499">
        <v>33</v>
      </c>
      <c r="K16" s="500">
        <v>8</v>
      </c>
      <c r="L16" s="600">
        <f t="shared" ref="L16:L25" si="5">IF(C16="electric",(I16/J16)*$J$5,IF(C16="gasoline",(I16/J16)*$J$3,IF(C16="biodiesel",(I16/J16)*$J$4,IF(C16="cng",(I16/J16)*$J$2,0))))</f>
        <v>1.0363372303612415</v>
      </c>
      <c r="M16" s="691">
        <f>L16*365</f>
        <v>378.26308908185314</v>
      </c>
      <c r="N16" s="354">
        <f t="shared" ref="N16" si="6">+($H16/$J16)*Q$11*$D16</f>
        <v>3782.6308908185315</v>
      </c>
      <c r="O16" s="354">
        <f t="shared" si="0"/>
        <v>18432.630890818531</v>
      </c>
      <c r="P16" s="354">
        <f t="shared" si="1"/>
        <v>1843.2630890818532</v>
      </c>
      <c r="Q16" s="225">
        <f t="shared" si="2"/>
        <v>17.424242424242426</v>
      </c>
      <c r="R16"/>
      <c r="S16" s="774">
        <f t="shared" si="3"/>
        <v>753.26308908185456</v>
      </c>
      <c r="T16" s="777"/>
      <c r="U16" s="778"/>
      <c r="V16" s="251" t="s">
        <v>43</v>
      </c>
      <c r="W16" s="252"/>
      <c r="X16" s="253"/>
      <c r="Y16" s="100"/>
      <c r="Z16" s="100"/>
      <c r="AA16" s="100"/>
      <c r="AB16" s="100"/>
    </row>
    <row r="17" spans="1:39" ht="14.25" customHeight="1" thickBot="1" x14ac:dyDescent="0.4">
      <c r="A17" s="501"/>
      <c r="B17" s="489"/>
      <c r="C17" s="489"/>
      <c r="D17" s="490"/>
      <c r="E17" s="491"/>
      <c r="F17" s="492"/>
      <c r="G17" s="493"/>
      <c r="H17" s="493"/>
      <c r="I17" s="493"/>
      <c r="J17" s="233"/>
      <c r="K17" s="494"/>
      <c r="L17" s="495"/>
      <c r="M17" s="693"/>
      <c r="N17" s="355"/>
      <c r="O17" s="355"/>
      <c r="P17" s="355"/>
      <c r="Q17" s="502"/>
      <c r="R17"/>
      <c r="S17" s="801">
        <f t="shared" si="3"/>
        <v>19185.893979900386</v>
      </c>
      <c r="T17" s="780"/>
      <c r="U17" s="781"/>
      <c r="V17" s="178"/>
      <c r="W17" s="179"/>
      <c r="X17" s="507"/>
      <c r="Y17" s="4"/>
      <c r="Z17" s="4"/>
      <c r="AA17" s="4"/>
      <c r="AB17" s="4"/>
    </row>
    <row r="18" spans="1:39" ht="21" customHeight="1" x14ac:dyDescent="0.4">
      <c r="A18" s="930" t="s">
        <v>44</v>
      </c>
      <c r="B18" s="122" t="s">
        <v>45</v>
      </c>
      <c r="C18" s="122" t="s">
        <v>40</v>
      </c>
      <c r="D18" s="346">
        <f t="shared" si="4"/>
        <v>5.904089563058653</v>
      </c>
      <c r="E18" s="357">
        <f t="shared" ref="E18:E23" si="7">IF($C18="gasoline",$S$76,IF($C18="electric",0,IF($C18="cng",$S$77,IF($C18="biodiesel",$S$80,IF($C18="diesel",$S$79,IF($C18="plug-in",$S$81))))))</f>
        <v>0</v>
      </c>
      <c r="F18" s="351">
        <f>37495-G18</f>
        <v>29995</v>
      </c>
      <c r="G18" s="686">
        <f>IF(C18="electric",'Enter Your Data'!$J$14,IF(C18="plug-in",'Enter Your Data'!$J$14,0))</f>
        <v>7500</v>
      </c>
      <c r="H18" s="362">
        <f t="shared" ref="H18:H42" si="8">+$F$9</f>
        <v>5000</v>
      </c>
      <c r="I18" s="359">
        <f>$F$11</f>
        <v>13.698630136986301</v>
      </c>
      <c r="J18" s="123">
        <v>128</v>
      </c>
      <c r="K18" s="124">
        <v>10</v>
      </c>
      <c r="L18" s="599">
        <f t="shared" si="5"/>
        <v>0.6318589001561058</v>
      </c>
      <c r="M18" s="691">
        <f>L18*365</f>
        <v>230.62849855697863</v>
      </c>
      <c r="N18" s="354">
        <f t="shared" ref="N18:N23" si="9">+($H18/$J18)*Q$11*$D18</f>
        <v>2306.2849855697864</v>
      </c>
      <c r="O18" s="354">
        <f t="shared" ref="O18:O23" si="10">+$F18+$N18</f>
        <v>32301.284985569786</v>
      </c>
      <c r="P18" s="354">
        <f t="shared" ref="P18:P23" si="11">+$O18/Q$11</f>
        <v>3230.1284985569787</v>
      </c>
      <c r="Q18" s="225">
        <f t="shared" ref="Q18:Q23" si="12">+((Q$11*($H18/$J18)*$E18)/2000)</f>
        <v>0</v>
      </c>
      <c r="R18"/>
      <c r="S18" s="774">
        <f t="shared" si="3"/>
        <v>-13115.3910056694</v>
      </c>
      <c r="T18" s="782"/>
      <c r="U18" s="783"/>
      <c r="V18" s="181"/>
      <c r="W18" s="182" t="s">
        <v>43</v>
      </c>
      <c r="X18" s="508">
        <v>2</v>
      </c>
      <c r="Y18" s="4"/>
      <c r="Z18" s="4"/>
      <c r="AA18" s="4"/>
      <c r="AB18" s="4"/>
    </row>
    <row r="19" spans="1:39" ht="21" x14ac:dyDescent="0.4">
      <c r="A19" s="930"/>
      <c r="B19" s="713" t="s">
        <v>212</v>
      </c>
      <c r="C19" s="122" t="s">
        <v>40</v>
      </c>
      <c r="D19" s="346">
        <f t="shared" si="4"/>
        <v>5.904089563058653</v>
      </c>
      <c r="E19" s="357">
        <f t="shared" si="7"/>
        <v>0</v>
      </c>
      <c r="F19" s="766">
        <f>33335-G19</f>
        <v>25835</v>
      </c>
      <c r="G19" s="686">
        <f>IF(C19="electric",'Enter Your Data'!$J$14,IF(C19="plug-in",'Enter Your Data'!$J$14,0))</f>
        <v>7500</v>
      </c>
      <c r="H19" s="362">
        <f t="shared" si="8"/>
        <v>5000</v>
      </c>
      <c r="I19" s="359">
        <f>$F$11</f>
        <v>13.698630136986301</v>
      </c>
      <c r="J19" s="714">
        <v>124</v>
      </c>
      <c r="K19" s="124">
        <v>10</v>
      </c>
      <c r="L19" s="599">
        <f t="shared" si="5"/>
        <v>0.65224144532243178</v>
      </c>
      <c r="M19" s="691">
        <f>L19*365</f>
        <v>238.06812754268759</v>
      </c>
      <c r="N19" s="354">
        <f t="shared" ref="N19" si="13">+($H19/$J19)*Q$11*$D19</f>
        <v>2380.6812754268758</v>
      </c>
      <c r="O19" s="354">
        <f t="shared" si="10"/>
        <v>28215.681275426876</v>
      </c>
      <c r="P19" s="354">
        <f t="shared" ref="P19" si="14">+$O19/Q$11</f>
        <v>2821.5681275426878</v>
      </c>
      <c r="Q19" s="225">
        <f t="shared" si="12"/>
        <v>0</v>
      </c>
      <c r="R19"/>
      <c r="S19" s="774">
        <f t="shared" si="3"/>
        <v>-9029.7872955264902</v>
      </c>
      <c r="T19" s="782"/>
      <c r="U19" s="783"/>
      <c r="V19" s="181" t="e">
        <f>+S19+#REF!</f>
        <v>#REF!</v>
      </c>
      <c r="W19" s="182" t="e">
        <f>-1*+V19/#REF!</f>
        <v>#REF!</v>
      </c>
      <c r="X19" s="509">
        <v>14</v>
      </c>
      <c r="Y19" s="4"/>
      <c r="Z19" s="4"/>
      <c r="AA19" s="4"/>
      <c r="AB19" s="4"/>
    </row>
    <row r="20" spans="1:39" ht="21.6" thickBot="1" x14ac:dyDescent="0.45">
      <c r="A20" s="930"/>
      <c r="B20" s="153" t="s">
        <v>46</v>
      </c>
      <c r="C20" s="122" t="s">
        <v>40</v>
      </c>
      <c r="D20" s="346">
        <f t="shared" si="4"/>
        <v>5.904089563058653</v>
      </c>
      <c r="E20" s="357">
        <f t="shared" si="7"/>
        <v>0</v>
      </c>
      <c r="F20" s="351">
        <f>31580-G20</f>
        <v>24080</v>
      </c>
      <c r="G20" s="686">
        <f>IF(C20="electric",'Enter Your Data'!$J$14,IF(C20="plug-in",'Enter Your Data'!$J$14,0))</f>
        <v>7500</v>
      </c>
      <c r="H20" s="362">
        <f t="shared" si="8"/>
        <v>5000</v>
      </c>
      <c r="I20" s="359">
        <f t="shared" ref="I20:I23" si="15">$F$11</f>
        <v>13.698630136986301</v>
      </c>
      <c r="J20" s="123">
        <v>130</v>
      </c>
      <c r="K20" s="124">
        <v>10</v>
      </c>
      <c r="L20" s="599">
        <f t="shared" si="5"/>
        <v>0.62213799399985803</v>
      </c>
      <c r="M20" s="691">
        <f t="shared" ref="M20:M23" si="16">L20*365</f>
        <v>227.08036780994817</v>
      </c>
      <c r="N20" s="354">
        <f t="shared" si="9"/>
        <v>2270.8036780994817</v>
      </c>
      <c r="O20" s="354">
        <f t="shared" si="10"/>
        <v>26350.803678099481</v>
      </c>
      <c r="P20" s="354">
        <f t="shared" si="11"/>
        <v>2635.0803678099483</v>
      </c>
      <c r="Q20" s="225">
        <f t="shared" si="12"/>
        <v>0</v>
      </c>
      <c r="R20"/>
      <c r="S20" s="774">
        <f t="shared" si="3"/>
        <v>-7164.9096981990951</v>
      </c>
      <c r="T20" s="782"/>
      <c r="U20" s="783"/>
      <c r="V20" s="181" t="e">
        <f>+S20+#REF!</f>
        <v>#REF!</v>
      </c>
      <c r="W20" s="182" t="e">
        <f>-1*+V20/#REF!</f>
        <v>#REF!</v>
      </c>
      <c r="X20" s="510">
        <v>3</v>
      </c>
      <c r="Y20" s="4"/>
      <c r="Z20" s="4"/>
      <c r="AA20" s="4"/>
      <c r="AB20" s="4"/>
    </row>
    <row r="21" spans="1:39" ht="21" x14ac:dyDescent="0.4">
      <c r="A21" s="930"/>
      <c r="B21" s="122" t="s">
        <v>47</v>
      </c>
      <c r="C21" s="122" t="s">
        <v>42</v>
      </c>
      <c r="D21" s="346">
        <f t="shared" si="4"/>
        <v>2.4965363879402309</v>
      </c>
      <c r="E21" s="357">
        <f t="shared" si="7"/>
        <v>23</v>
      </c>
      <c r="F21" s="351">
        <v>15025</v>
      </c>
      <c r="G21" s="686">
        <f>IF(C21="electric",'Enter Your Data'!$J$14,IF(C21="plug-in",'Enter Your Data'!$J$14,0))</f>
        <v>0</v>
      </c>
      <c r="H21" s="362">
        <f t="shared" si="8"/>
        <v>5000</v>
      </c>
      <c r="I21" s="359">
        <f t="shared" si="15"/>
        <v>13.698630136986301</v>
      </c>
      <c r="J21" s="123">
        <v>30</v>
      </c>
      <c r="K21" s="124">
        <v>8</v>
      </c>
      <c r="L21" s="599">
        <f t="shared" si="5"/>
        <v>1.1399709533973656</v>
      </c>
      <c r="M21" s="691">
        <f t="shared" si="16"/>
        <v>416.08939799003844</v>
      </c>
      <c r="N21" s="354">
        <f t="shared" si="9"/>
        <v>4160.8939799003847</v>
      </c>
      <c r="O21" s="354">
        <f t="shared" si="10"/>
        <v>19185.893979900386</v>
      </c>
      <c r="P21" s="354">
        <f t="shared" si="11"/>
        <v>1918.5893979900386</v>
      </c>
      <c r="Q21" s="160">
        <f t="shared" si="12"/>
        <v>19.166666666666664</v>
      </c>
      <c r="R21"/>
      <c r="S21" s="801">
        <f t="shared" si="3"/>
        <v>0</v>
      </c>
      <c r="T21" s="784"/>
      <c r="U21" s="785"/>
      <c r="V21" s="181"/>
      <c r="W21" s="182"/>
      <c r="X21" s="511"/>
      <c r="Y21" s="4"/>
      <c r="Z21" s="4"/>
      <c r="AA21" s="4"/>
      <c r="AB21" s="4"/>
    </row>
    <row r="22" spans="1:39" ht="18" x14ac:dyDescent="0.35">
      <c r="A22" s="930"/>
      <c r="B22" s="122" t="s">
        <v>48</v>
      </c>
      <c r="C22" s="122" t="s">
        <v>42</v>
      </c>
      <c r="D22" s="346">
        <f t="shared" si="4"/>
        <v>2.4965363879402309</v>
      </c>
      <c r="E22" s="357">
        <f t="shared" si="7"/>
        <v>23</v>
      </c>
      <c r="F22" s="351">
        <v>20630</v>
      </c>
      <c r="G22" s="686">
        <f>IF(C22="electric",'Enter Your Data'!$J$14,IF(C22="plug-in",'Enter Your Data'!$J$14,0))</f>
        <v>0</v>
      </c>
      <c r="H22" s="362">
        <f t="shared" si="8"/>
        <v>5000</v>
      </c>
      <c r="I22" s="359">
        <f t="shared" si="15"/>
        <v>13.698630136986301</v>
      </c>
      <c r="J22" s="123">
        <v>48</v>
      </c>
      <c r="K22" s="124">
        <v>10</v>
      </c>
      <c r="L22" s="599">
        <f t="shared" si="5"/>
        <v>0.71248184587335361</v>
      </c>
      <c r="M22" s="691">
        <f t="shared" si="16"/>
        <v>260.05587374377404</v>
      </c>
      <c r="N22" s="354">
        <f t="shared" si="9"/>
        <v>2600.5587374377405</v>
      </c>
      <c r="O22" s="354">
        <f t="shared" si="10"/>
        <v>23230.558737437739</v>
      </c>
      <c r="P22" s="354">
        <f t="shared" si="11"/>
        <v>2323.0558737437741</v>
      </c>
      <c r="Q22" s="160">
        <f t="shared" si="12"/>
        <v>11.979166666666668</v>
      </c>
      <c r="R22"/>
      <c r="S22" s="774">
        <f t="shared" si="3"/>
        <v>-4044.6647575373536</v>
      </c>
      <c r="T22" s="782"/>
      <c r="U22" s="783"/>
      <c r="V22" s="181"/>
      <c r="W22" s="140" t="s">
        <v>43</v>
      </c>
      <c r="X22" s="191"/>
      <c r="Y22" s="4"/>
      <c r="Z22" s="4"/>
      <c r="AA22" s="4"/>
      <c r="AB22" s="4"/>
    </row>
    <row r="23" spans="1:39" s="49" customFormat="1" ht="18" x14ac:dyDescent="0.35">
      <c r="A23" s="930"/>
      <c r="B23" s="153" t="s">
        <v>49</v>
      </c>
      <c r="C23" s="122" t="s">
        <v>42</v>
      </c>
      <c r="D23" s="346">
        <f t="shared" si="4"/>
        <v>2.4965363879402309</v>
      </c>
      <c r="E23" s="357">
        <f t="shared" si="7"/>
        <v>23</v>
      </c>
      <c r="F23" s="351">
        <v>16190</v>
      </c>
      <c r="G23" s="686">
        <f>IF(C23="electric",'Enter Your Data'!$J$14,IF(C23="plug-in",'Enter Your Data'!$J$14,0))</f>
        <v>0</v>
      </c>
      <c r="H23" s="362">
        <f t="shared" si="8"/>
        <v>5000</v>
      </c>
      <c r="I23" s="359">
        <f t="shared" si="15"/>
        <v>13.698630136986301</v>
      </c>
      <c r="J23" s="123">
        <v>33</v>
      </c>
      <c r="K23" s="124">
        <v>8</v>
      </c>
      <c r="L23" s="599">
        <f t="shared" si="5"/>
        <v>1.0363372303612415</v>
      </c>
      <c r="M23" s="691">
        <f t="shared" si="16"/>
        <v>378.26308908185314</v>
      </c>
      <c r="N23" s="354">
        <f t="shared" si="9"/>
        <v>3782.6308908185315</v>
      </c>
      <c r="O23" s="354">
        <f t="shared" si="10"/>
        <v>19972.630890818531</v>
      </c>
      <c r="P23" s="354">
        <f t="shared" si="11"/>
        <v>1997.2630890818532</v>
      </c>
      <c r="Q23" s="160">
        <f t="shared" si="12"/>
        <v>17.424242424242426</v>
      </c>
      <c r="R23"/>
      <c r="S23" s="774">
        <f t="shared" si="3"/>
        <v>-786.73691091814544</v>
      </c>
      <c r="T23" s="782"/>
      <c r="U23" s="783"/>
      <c r="V23" s="186"/>
      <c r="W23" s="141" t="s">
        <v>43</v>
      </c>
      <c r="X23" s="193"/>
      <c r="Y23" s="66"/>
      <c r="Z23" s="66"/>
      <c r="AA23" s="66"/>
      <c r="AB23" s="66"/>
      <c r="AC23" s="67"/>
      <c r="AD23" s="67"/>
      <c r="AE23" s="67"/>
      <c r="AF23" s="67"/>
      <c r="AG23" s="67"/>
      <c r="AH23" s="67"/>
      <c r="AI23" s="67"/>
      <c r="AJ23" s="67"/>
      <c r="AK23" s="67"/>
      <c r="AL23" s="67"/>
      <c r="AM23" s="67"/>
    </row>
    <row r="24" spans="1:39" ht="19.95" customHeight="1" x14ac:dyDescent="0.35">
      <c r="A24" s="503"/>
      <c r="B24" s="266"/>
      <c r="C24" s="269"/>
      <c r="D24" s="347"/>
      <c r="E24" s="358"/>
      <c r="F24" s="350"/>
      <c r="G24" s="361"/>
      <c r="H24" s="361"/>
      <c r="I24" s="361"/>
      <c r="J24" s="267"/>
      <c r="K24" s="268"/>
      <c r="L24" s="353"/>
      <c r="M24" s="356"/>
      <c r="N24" s="356"/>
      <c r="O24" s="356"/>
      <c r="P24" s="356"/>
      <c r="Q24" s="504"/>
      <c r="R24"/>
      <c r="S24" s="779"/>
      <c r="T24" s="782"/>
      <c r="U24" s="783"/>
      <c r="V24" s="181"/>
      <c r="W24" s="140" t="s">
        <v>43</v>
      </c>
      <c r="X24" s="191"/>
      <c r="Y24" s="4"/>
      <c r="Z24" s="4"/>
      <c r="AA24" s="4"/>
      <c r="AB24" s="4"/>
    </row>
    <row r="25" spans="1:39" ht="19.95" customHeight="1" thickBot="1" x14ac:dyDescent="0.4">
      <c r="A25" s="930" t="s">
        <v>50</v>
      </c>
      <c r="B25" s="122" t="s">
        <v>51</v>
      </c>
      <c r="C25" s="122" t="s">
        <v>40</v>
      </c>
      <c r="D25" s="346">
        <f t="shared" si="4"/>
        <v>5.904089563058653</v>
      </c>
      <c r="E25" s="357">
        <f t="shared" ref="E25:E33" si="17">IF($C25="gasoline",$S$76,IF($C25="electric",0,IF($C25="cng",$S$77,IF($C25="biodiesel",$S$80,IF($C25="diesel",$S$79,IF($C25="plug-in",$S$81))))))</f>
        <v>0</v>
      </c>
      <c r="F25" s="351">
        <f>29120-G25</f>
        <v>21620</v>
      </c>
      <c r="G25" s="686">
        <f>IF(C25="electric",'Enter Your Data'!$J$14,IF(C25="plug-in",'Enter Your Data'!$J$14,0))</f>
        <v>7500</v>
      </c>
      <c r="H25" s="362">
        <f t="shared" si="8"/>
        <v>5000</v>
      </c>
      <c r="I25" s="362">
        <f>$F$11</f>
        <v>13.698630136986301</v>
      </c>
      <c r="J25" s="157">
        <v>118</v>
      </c>
      <c r="K25" s="124">
        <v>10</v>
      </c>
      <c r="L25" s="599">
        <f t="shared" si="5"/>
        <v>0.68540626457611487</v>
      </c>
      <c r="M25" s="691">
        <f>L25*365</f>
        <v>250.17328657028193</v>
      </c>
      <c r="N25" s="354">
        <f>+($H25/$J25)*Q$11*$D25</f>
        <v>2501.7328657028188</v>
      </c>
      <c r="O25" s="354">
        <f>+$F25+$N25</f>
        <v>24121.732865702819</v>
      </c>
      <c r="P25" s="354">
        <f>+$O25/Q$11</f>
        <v>2412.173286570282</v>
      </c>
      <c r="Q25" s="225">
        <f t="shared" ref="Q25:Q33" si="18">+((Q$11*($H25/$J25)*$E25)/2000)</f>
        <v>0</v>
      </c>
      <c r="R25"/>
      <c r="S25" s="774">
        <f>$O$30-O25</f>
        <v>-2258.6600898223587</v>
      </c>
      <c r="T25" s="782"/>
      <c r="U25" s="786">
        <f>O28-O25</f>
        <v>-1268.6600898223587</v>
      </c>
      <c r="V25" s="181"/>
      <c r="W25" s="140" t="s">
        <v>43</v>
      </c>
      <c r="X25" s="512"/>
      <c r="Y25" s="66"/>
      <c r="Z25" s="4"/>
      <c r="AA25" s="66"/>
      <c r="AB25" s="4"/>
    </row>
    <row r="26" spans="1:39" ht="19.2" customHeight="1" x14ac:dyDescent="0.35">
      <c r="A26" s="930"/>
      <c r="B26" s="153" t="s">
        <v>52</v>
      </c>
      <c r="C26" s="146" t="s">
        <v>53</v>
      </c>
      <c r="D26" s="346" t="str">
        <f t="shared" si="4"/>
        <v>See EV</v>
      </c>
      <c r="E26" s="357">
        <f t="shared" si="17"/>
        <v>23</v>
      </c>
      <c r="F26" s="349">
        <f>27100-G26</f>
        <v>19600</v>
      </c>
      <c r="G26" s="686">
        <f>IF(C26="electric",'Enter Your Data'!$J$14,IF(C26="plug-in",'Enter Your Data'!$J$14,0))</f>
        <v>7500</v>
      </c>
      <c r="H26" s="362">
        <f t="shared" si="8"/>
        <v>5000</v>
      </c>
      <c r="I26" s="362">
        <f t="shared" ref="I26:I27" si="19">$F$11</f>
        <v>13.698630136986301</v>
      </c>
      <c r="J26" s="271">
        <f>(133+54)/2</f>
        <v>93.5</v>
      </c>
      <c r="K26" s="156">
        <v>10</v>
      </c>
      <c r="L26" s="601">
        <f>IF(I26&gt;'EV Details'!D12,((('EV Details'!D12/'EV Details'!E12)*'Passenger Cars'!$J$5)+((('Passenger Cars'!I26-'EV Details'!D12)/'EV Details'!F12)*'Passenger Cars'!$J$3)),('Passenger Cars'!I26/'EV Details'!E12)*'Passenger Cars'!$J$5)</f>
        <v>0.60810480616527474</v>
      </c>
      <c r="M26" s="691">
        <f t="shared" ref="M26:M33" si="20">L26*365</f>
        <v>221.95825425032527</v>
      </c>
      <c r="N26" s="354">
        <f>L26*365*10</f>
        <v>2219.5825425032526</v>
      </c>
      <c r="O26" s="354">
        <f t="shared" ref="O26:O27" si="21">+$F26+$N26</f>
        <v>21819.582542503253</v>
      </c>
      <c r="P26" s="354">
        <f t="shared" ref="P26:P27" si="22">+$O26/Q$11</f>
        <v>2181.9582542503254</v>
      </c>
      <c r="Q26" s="160">
        <f t="shared" si="18"/>
        <v>6.1497326203208562</v>
      </c>
      <c r="R26"/>
      <c r="S26" s="774">
        <f t="shared" ref="S26:S33" si="23">$O$30-O26</f>
        <v>43.490233377207915</v>
      </c>
      <c r="T26" s="782"/>
      <c r="U26" s="786">
        <f>O29-O26</f>
        <v>5497.603998824532</v>
      </c>
      <c r="V26" s="181"/>
      <c r="W26" s="140"/>
      <c r="X26" s="189"/>
      <c r="Y26" s="4"/>
      <c r="Z26" s="4"/>
      <c r="AA26" s="4"/>
      <c r="AB26" s="66"/>
      <c r="AC26" s="67"/>
      <c r="AD26" s="67"/>
      <c r="AE26" s="67"/>
      <c r="AF26" s="67"/>
      <c r="AG26" s="67"/>
      <c r="AH26" s="67"/>
      <c r="AI26" s="67"/>
      <c r="AJ26" s="67"/>
      <c r="AK26" s="67"/>
      <c r="AL26" s="67"/>
      <c r="AM26" s="67"/>
    </row>
    <row r="27" spans="1:39" s="105" customFormat="1" ht="19.95" customHeight="1" thickBot="1" x14ac:dyDescent="0.4">
      <c r="A27" s="930"/>
      <c r="B27" s="153" t="s">
        <v>54</v>
      </c>
      <c r="C27" s="146" t="s">
        <v>53</v>
      </c>
      <c r="D27" s="346" t="str">
        <f t="shared" si="4"/>
        <v>See EV</v>
      </c>
      <c r="E27" s="357">
        <f t="shared" si="17"/>
        <v>23</v>
      </c>
      <c r="F27" s="349">
        <f>34095-G27</f>
        <v>26595</v>
      </c>
      <c r="G27" s="686">
        <f>IF(C27="electric",'Enter Your Data'!$J$14,IF(C27="plug-in",'Enter Your Data'!$J$14,0))</f>
        <v>7500</v>
      </c>
      <c r="H27" s="362">
        <f t="shared" si="8"/>
        <v>5000</v>
      </c>
      <c r="I27" s="362">
        <f t="shared" si="19"/>
        <v>13.698630136986301</v>
      </c>
      <c r="J27" s="271">
        <f>(106+42)/2</f>
        <v>74</v>
      </c>
      <c r="K27" s="156">
        <v>10</v>
      </c>
      <c r="L27" s="601">
        <f>IF(I27&gt;'EV Details'!D11,((('EV Details'!D11/'EV Details'!E11)*'Passenger Cars'!$J$5)+((('Passenger Cars'!I27-'EV Details'!D11)/'EV Details'!F11)*'Passenger Cars'!$J$3)),('Passenger Cars'!I27/'EV Details'!E11)*'Passenger Cars'!$J$5)</f>
        <v>0.76299942660359954</v>
      </c>
      <c r="M27" s="691">
        <f t="shared" si="20"/>
        <v>278.49479071031385</v>
      </c>
      <c r="N27" s="354">
        <f>L27*365*10</f>
        <v>2784.9479071031383</v>
      </c>
      <c r="O27" s="354">
        <f t="shared" si="21"/>
        <v>29379.947907103138</v>
      </c>
      <c r="P27" s="354">
        <f t="shared" si="22"/>
        <v>2937.9947907103137</v>
      </c>
      <c r="Q27" s="160">
        <f t="shared" si="18"/>
        <v>7.7702702702702702</v>
      </c>
      <c r="R27"/>
      <c r="S27" s="774">
        <f t="shared" si="23"/>
        <v>-7516.8751312226777</v>
      </c>
      <c r="T27" s="782"/>
      <c r="U27" s="783"/>
      <c r="V27" s="181"/>
      <c r="W27" s="140"/>
      <c r="X27" s="189"/>
      <c r="Y27" s="66"/>
      <c r="Z27" s="4"/>
      <c r="AA27" s="66"/>
      <c r="AB27" s="66"/>
      <c r="AC27" s="67"/>
      <c r="AD27" s="67"/>
      <c r="AE27" s="67"/>
      <c r="AF27" s="67"/>
      <c r="AG27" s="67"/>
      <c r="AH27" s="67"/>
      <c r="AI27" s="67"/>
      <c r="AJ27" s="67"/>
      <c r="AK27" s="67"/>
      <c r="AL27" s="67"/>
      <c r="AM27" s="67"/>
    </row>
    <row r="28" spans="1:39" s="105" customFormat="1" ht="19.2" customHeight="1" x14ac:dyDescent="0.35">
      <c r="A28" s="930"/>
      <c r="B28" s="146" t="s">
        <v>55</v>
      </c>
      <c r="C28" s="146" t="s">
        <v>42</v>
      </c>
      <c r="D28" s="346">
        <f t="shared" si="4"/>
        <v>2.4965363879402309</v>
      </c>
      <c r="E28" s="357">
        <f t="shared" si="17"/>
        <v>23</v>
      </c>
      <c r="F28" s="352">
        <v>17860</v>
      </c>
      <c r="G28" s="686">
        <f>IF(C28="electric",'Enter Your Data'!$J$14,IF(C28="plug-in",'Enter Your Data'!$J$14,0))</f>
        <v>0</v>
      </c>
      <c r="H28" s="362">
        <f>+$F$9</f>
        <v>5000</v>
      </c>
      <c r="I28" s="362">
        <f t="shared" ref="I28:I33" si="24">$F$11</f>
        <v>13.698630136986301</v>
      </c>
      <c r="J28" s="272">
        <v>25</v>
      </c>
      <c r="K28" s="124">
        <v>7</v>
      </c>
      <c r="L28" s="599">
        <f t="shared" ref="L28:L41" si="25">IF(C28="electric",(I28/J28)*$J$5,IF(C28="gasoline",(I28/J28)*$J$3,IF(C28="biodiesel",(I28/J28)*$J$4,IF(C28="cng",(I28/J28)*$J$2,0))))</f>
        <v>1.3679651440768388</v>
      </c>
      <c r="M28" s="691">
        <f t="shared" si="20"/>
        <v>499.30727758804613</v>
      </c>
      <c r="N28" s="354">
        <f t="shared" ref="N28:N33" si="26">+($H28/$J28)*Q$11*$D28</f>
        <v>4993.0727758804614</v>
      </c>
      <c r="O28" s="354">
        <f t="shared" ref="O28:O33" si="27">+$F28+$N28</f>
        <v>22853.072775880461</v>
      </c>
      <c r="P28" s="354">
        <f t="shared" ref="P28:P33" si="28">+$O28/Q$11</f>
        <v>2285.307277588046</v>
      </c>
      <c r="Q28" s="160">
        <f t="shared" si="18"/>
        <v>23</v>
      </c>
      <c r="R28"/>
      <c r="S28" s="774">
        <f t="shared" si="23"/>
        <v>-990</v>
      </c>
      <c r="T28" s="787"/>
      <c r="U28" s="788"/>
      <c r="V28" s="181"/>
      <c r="W28" s="140"/>
      <c r="X28" s="189"/>
      <c r="Y28" s="4"/>
      <c r="Z28" s="4"/>
      <c r="AA28" s="4"/>
      <c r="AB28" s="66"/>
      <c r="AC28" s="67"/>
      <c r="AD28" s="67"/>
      <c r="AE28" s="67"/>
      <c r="AF28" s="67"/>
      <c r="AG28" s="67"/>
      <c r="AH28" s="67"/>
      <c r="AI28" s="67"/>
      <c r="AJ28" s="67"/>
      <c r="AK28" s="67"/>
      <c r="AL28" s="67"/>
      <c r="AM28" s="67"/>
    </row>
    <row r="29" spans="1:39" s="105" customFormat="1" ht="19.95" customHeight="1" thickBot="1" x14ac:dyDescent="0.4">
      <c r="A29" s="930"/>
      <c r="B29" s="153" t="s">
        <v>56</v>
      </c>
      <c r="C29" s="122" t="s">
        <v>42</v>
      </c>
      <c r="D29" s="346">
        <f t="shared" si="4"/>
        <v>2.4965363879402309</v>
      </c>
      <c r="E29" s="357">
        <f t="shared" si="17"/>
        <v>23</v>
      </c>
      <c r="F29" s="351">
        <v>25165</v>
      </c>
      <c r="G29" s="686">
        <f>IF(C29="electric",'Enter Your Data'!$J$14,IF(C29="plug-in",'Enter Your Data'!$J$14,0))</f>
        <v>0</v>
      </c>
      <c r="H29" s="362">
        <f>+$F$9</f>
        <v>5000</v>
      </c>
      <c r="I29" s="362">
        <f t="shared" si="24"/>
        <v>13.698630136986301</v>
      </c>
      <c r="J29" s="157">
        <v>58</v>
      </c>
      <c r="K29" s="124">
        <v>10</v>
      </c>
      <c r="L29" s="599">
        <f t="shared" si="25"/>
        <v>0.58964014830898226</v>
      </c>
      <c r="M29" s="691">
        <f t="shared" si="20"/>
        <v>215.21865413277851</v>
      </c>
      <c r="N29" s="354">
        <f t="shared" si="26"/>
        <v>2152.1865413277851</v>
      </c>
      <c r="O29" s="354">
        <f t="shared" si="27"/>
        <v>27317.186541327785</v>
      </c>
      <c r="P29" s="354">
        <f t="shared" si="28"/>
        <v>2731.7186541327783</v>
      </c>
      <c r="Q29" s="160">
        <f t="shared" si="18"/>
        <v>9.9137931034482758</v>
      </c>
      <c r="R29"/>
      <c r="S29" s="774">
        <f t="shared" si="23"/>
        <v>-5454.1137654473241</v>
      </c>
      <c r="T29" s="789"/>
      <c r="U29" s="790"/>
      <c r="V29" s="181"/>
      <c r="W29" s="140"/>
      <c r="X29" s="189"/>
      <c r="Y29" s="66"/>
      <c r="Z29" s="4"/>
      <c r="AA29" s="66"/>
      <c r="AB29" s="66"/>
      <c r="AC29" s="67"/>
      <c r="AD29" s="67"/>
      <c r="AE29" s="67"/>
      <c r="AF29" s="67"/>
      <c r="AG29" s="67"/>
      <c r="AH29" s="67"/>
      <c r="AI29" s="67"/>
      <c r="AJ29" s="67"/>
      <c r="AK29" s="67"/>
      <c r="AL29" s="67"/>
      <c r="AM29" s="67"/>
    </row>
    <row r="30" spans="1:39" ht="20.7" customHeight="1" x14ac:dyDescent="0.35">
      <c r="A30" s="930"/>
      <c r="B30" s="153" t="s">
        <v>57</v>
      </c>
      <c r="C30" s="146" t="s">
        <v>42</v>
      </c>
      <c r="D30" s="346">
        <f t="shared" si="4"/>
        <v>2.4965363879402309</v>
      </c>
      <c r="E30" s="357">
        <f t="shared" si="17"/>
        <v>23</v>
      </c>
      <c r="F30" s="351">
        <v>16870</v>
      </c>
      <c r="G30" s="686">
        <f>IF(C30="electric",'Enter Your Data'!$J$14,IF(C30="plug-in",'Enter Your Data'!$J$14,0))</f>
        <v>0</v>
      </c>
      <c r="H30" s="362">
        <f>+$F$9</f>
        <v>5000</v>
      </c>
      <c r="I30" s="362">
        <f t="shared" si="24"/>
        <v>13.698630136986301</v>
      </c>
      <c r="J30" s="157">
        <v>25</v>
      </c>
      <c r="K30" s="124">
        <v>7</v>
      </c>
      <c r="L30" s="599">
        <f t="shared" si="25"/>
        <v>1.3679651440768388</v>
      </c>
      <c r="M30" s="691">
        <f t="shared" si="20"/>
        <v>499.30727758804613</v>
      </c>
      <c r="N30" s="354">
        <f t="shared" si="26"/>
        <v>4993.0727758804614</v>
      </c>
      <c r="O30" s="354">
        <f t="shared" si="27"/>
        <v>21863.072775880461</v>
      </c>
      <c r="P30" s="354">
        <f t="shared" si="28"/>
        <v>2186.307277588046</v>
      </c>
      <c r="Q30" s="160">
        <f t="shared" si="18"/>
        <v>23</v>
      </c>
      <c r="R30"/>
      <c r="S30" s="801">
        <f t="shared" si="23"/>
        <v>0</v>
      </c>
      <c r="T30" s="791"/>
      <c r="U30" s="792"/>
      <c r="V30" s="190"/>
      <c r="W30" s="142" t="s">
        <v>43</v>
      </c>
      <c r="X30" s="191"/>
      <c r="Y30" s="4"/>
      <c r="Z30" s="4"/>
      <c r="AA30" s="4"/>
      <c r="AB30" s="66"/>
      <c r="AC30" s="67"/>
      <c r="AD30" s="67"/>
      <c r="AE30" s="67"/>
      <c r="AF30" s="67"/>
      <c r="AG30" s="67"/>
      <c r="AH30" s="67"/>
      <c r="AI30" s="67"/>
      <c r="AJ30" s="67"/>
      <c r="AK30" s="67"/>
      <c r="AL30" s="67"/>
      <c r="AM30" s="67"/>
    </row>
    <row r="31" spans="1:39" s="49" customFormat="1" ht="21" customHeight="1" x14ac:dyDescent="0.35">
      <c r="A31" s="930"/>
      <c r="B31" s="122" t="s">
        <v>241</v>
      </c>
      <c r="C31" s="122" t="s">
        <v>42</v>
      </c>
      <c r="D31" s="346">
        <f t="shared" si="4"/>
        <v>2.4965363879402309</v>
      </c>
      <c r="E31" s="357">
        <f t="shared" si="17"/>
        <v>23</v>
      </c>
      <c r="F31" s="351">
        <v>18495</v>
      </c>
      <c r="G31" s="686">
        <f>IF(C31="electric",'Enter Your Data'!$J$14,IF(C31="plug-in",'Enter Your Data'!$J$14,0))</f>
        <v>0</v>
      </c>
      <c r="H31" s="362">
        <f t="shared" ref="H31:H32" si="29">+$F$9</f>
        <v>5000</v>
      </c>
      <c r="I31" s="362">
        <f t="shared" si="24"/>
        <v>13.698630136986301</v>
      </c>
      <c r="J31" s="157">
        <v>28</v>
      </c>
      <c r="K31" s="158">
        <v>8</v>
      </c>
      <c r="L31" s="599">
        <f t="shared" si="25"/>
        <v>1.221397450068606</v>
      </c>
      <c r="M31" s="691">
        <f t="shared" si="20"/>
        <v>445.8100692750412</v>
      </c>
      <c r="N31" s="354">
        <f t="shared" si="26"/>
        <v>4458.1006927504122</v>
      </c>
      <c r="O31" s="354">
        <f t="shared" si="27"/>
        <v>22953.100692750413</v>
      </c>
      <c r="P31" s="354">
        <f t="shared" si="28"/>
        <v>2295.3100692750413</v>
      </c>
      <c r="Q31" s="160">
        <f t="shared" si="18"/>
        <v>20.535714285714285</v>
      </c>
      <c r="R31"/>
      <c r="S31" s="774">
        <f t="shared" si="23"/>
        <v>-1090.0279168699526</v>
      </c>
      <c r="T31" s="791"/>
      <c r="U31" s="792"/>
      <c r="V31" s="192"/>
      <c r="W31" s="143" t="s">
        <v>43</v>
      </c>
      <c r="X31" s="193"/>
      <c r="Y31" s="69"/>
      <c r="Z31" s="66"/>
      <c r="AA31" s="66"/>
      <c r="AB31" s="66"/>
      <c r="AC31" s="67"/>
      <c r="AD31" s="67"/>
      <c r="AE31" s="67"/>
      <c r="AF31" s="67"/>
      <c r="AG31" s="67"/>
      <c r="AH31" s="67"/>
      <c r="AI31" s="67"/>
      <c r="AJ31" s="67"/>
      <c r="AK31" s="67"/>
      <c r="AL31" s="67"/>
      <c r="AM31" s="67"/>
    </row>
    <row r="32" spans="1:39" ht="19.2" customHeight="1" x14ac:dyDescent="0.35">
      <c r="A32" s="930"/>
      <c r="B32" s="122" t="s">
        <v>58</v>
      </c>
      <c r="C32" s="122" t="s">
        <v>42</v>
      </c>
      <c r="D32" s="346">
        <f t="shared" si="4"/>
        <v>2.4965363879402309</v>
      </c>
      <c r="E32" s="357">
        <f t="shared" si="17"/>
        <v>23</v>
      </c>
      <c r="F32" s="351">
        <v>17850</v>
      </c>
      <c r="G32" s="686">
        <f>IF(C32="electric",'Enter Your Data'!$J$14,IF(C32="plug-in",'Enter Your Data'!$J$14,0))</f>
        <v>0</v>
      </c>
      <c r="H32" s="362">
        <f t="shared" si="29"/>
        <v>5000</v>
      </c>
      <c r="I32" s="362">
        <f t="shared" si="24"/>
        <v>13.698630136986301</v>
      </c>
      <c r="J32" s="157">
        <v>29</v>
      </c>
      <c r="K32" s="158">
        <v>8</v>
      </c>
      <c r="L32" s="599">
        <f t="shared" si="25"/>
        <v>1.1792802966179645</v>
      </c>
      <c r="M32" s="691">
        <f t="shared" si="20"/>
        <v>430.43730826555702</v>
      </c>
      <c r="N32" s="354">
        <f>+($H32/$J32)*Q$11*$D32</f>
        <v>4304.3730826555702</v>
      </c>
      <c r="O32" s="354">
        <f>+$F32+$N32</f>
        <v>22154.373082655569</v>
      </c>
      <c r="P32" s="354">
        <f>+$O32/Q$11</f>
        <v>2215.437308265557</v>
      </c>
      <c r="Q32" s="160">
        <f t="shared" si="18"/>
        <v>19.827586206896552</v>
      </c>
      <c r="R32"/>
      <c r="S32" s="774">
        <f t="shared" si="23"/>
        <v>-291.30030677510877</v>
      </c>
      <c r="T32" s="793"/>
      <c r="U32" s="792"/>
      <c r="V32" s="194" t="e">
        <f>+S30+#REF!</f>
        <v>#REF!</v>
      </c>
      <c r="W32" s="140" t="s">
        <v>43</v>
      </c>
      <c r="X32" s="191"/>
      <c r="Y32" s="610"/>
      <c r="Z32" s="4"/>
      <c r="AA32" s="4"/>
      <c r="AB32" s="4"/>
    </row>
    <row r="33" spans="1:28" ht="19.2" customHeight="1" x14ac:dyDescent="0.35">
      <c r="A33" s="930"/>
      <c r="B33" s="122" t="s">
        <v>59</v>
      </c>
      <c r="C33" s="122" t="s">
        <v>60</v>
      </c>
      <c r="D33" s="346">
        <f t="shared" si="4"/>
        <v>2.3322905729441636</v>
      </c>
      <c r="E33" s="357">
        <f t="shared" si="17"/>
        <v>19</v>
      </c>
      <c r="F33" s="351">
        <v>16975</v>
      </c>
      <c r="G33" s="686">
        <f>IF(C33="electric",'Enter Your Data'!$J$14,IF(C33="plug-in",'Enter Your Data'!$J$14,0))</f>
        <v>0</v>
      </c>
      <c r="H33" s="362">
        <f>+$F$9</f>
        <v>5000</v>
      </c>
      <c r="I33" s="362">
        <f t="shared" si="24"/>
        <v>13.698630136986301</v>
      </c>
      <c r="J33" s="157">
        <v>31</v>
      </c>
      <c r="K33" s="124">
        <v>7</v>
      </c>
      <c r="L33" s="599">
        <f t="shared" si="25"/>
        <v>1.0306189009916764</v>
      </c>
      <c r="M33" s="691">
        <f t="shared" si="20"/>
        <v>376.17589886196191</v>
      </c>
      <c r="N33" s="354">
        <f t="shared" si="26"/>
        <v>3761.7589886196183</v>
      </c>
      <c r="O33" s="354">
        <f t="shared" si="27"/>
        <v>20736.758988619618</v>
      </c>
      <c r="P33" s="354">
        <f t="shared" si="28"/>
        <v>2073.6758988619617</v>
      </c>
      <c r="Q33" s="160">
        <f t="shared" si="18"/>
        <v>15.32258064516129</v>
      </c>
      <c r="R33"/>
      <c r="S33" s="774">
        <f t="shared" si="23"/>
        <v>1126.3137872608422</v>
      </c>
      <c r="T33" s="793"/>
      <c r="U33" s="794">
        <f>O32-O33</f>
        <v>1417.614094035951</v>
      </c>
      <c r="V33" s="194" t="e">
        <f>+S31+#REF!</f>
        <v>#REF!</v>
      </c>
      <c r="W33" s="144"/>
      <c r="X33" s="198"/>
      <c r="Y33" s="610"/>
      <c r="Z33" s="4"/>
      <c r="AA33" s="4"/>
      <c r="AB33" s="4"/>
    </row>
    <row r="34" spans="1:28" ht="19.2" customHeight="1" thickBot="1" x14ac:dyDescent="0.4">
      <c r="A34" s="505"/>
      <c r="B34" s="468"/>
      <c r="C34" s="468"/>
      <c r="D34" s="469"/>
      <c r="E34" s="470"/>
      <c r="F34" s="471"/>
      <c r="G34" s="368"/>
      <c r="H34" s="368"/>
      <c r="I34" s="368"/>
      <c r="J34" s="472"/>
      <c r="K34" s="473"/>
      <c r="L34" s="474"/>
      <c r="M34" s="475"/>
      <c r="N34" s="475"/>
      <c r="O34" s="475"/>
      <c r="P34" s="475"/>
      <c r="Q34" s="506"/>
      <c r="R34"/>
      <c r="S34" s="795"/>
      <c r="T34" s="793"/>
      <c r="U34" s="796"/>
      <c r="V34" s="261"/>
      <c r="W34" s="262"/>
      <c r="X34" s="263"/>
      <c r="Y34" s="610"/>
      <c r="Z34" s="4"/>
      <c r="AA34" s="4"/>
      <c r="AB34" s="4"/>
    </row>
    <row r="35" spans="1:28" ht="21" customHeight="1" x14ac:dyDescent="0.35">
      <c r="A35" s="931" t="s">
        <v>61</v>
      </c>
      <c r="B35" s="153" t="s">
        <v>62</v>
      </c>
      <c r="C35" s="122" t="s">
        <v>40</v>
      </c>
      <c r="D35" s="346">
        <f t="shared" si="4"/>
        <v>5.904089563058653</v>
      </c>
      <c r="E35" s="357">
        <f t="shared" ref="E35:E42" si="30">IF($C35="gasoline",$S$76,IF($C35="electric",0,IF($C35="cng",$S$77,IF($C35="biodiesel",$S$80,IF($C35="diesel",$S$79,IF($C35="plug-in",$S$81))))))</f>
        <v>0</v>
      </c>
      <c r="F35" s="351">
        <f>35000-G35</f>
        <v>27500</v>
      </c>
      <c r="G35" s="686">
        <f>IF(C35="electric",'Enter Your Data'!$J$14,IF(C35="plug-in",'Enter Your Data'!$J$14,0))</f>
        <v>7500</v>
      </c>
      <c r="H35" s="362">
        <f t="shared" si="8"/>
        <v>5000</v>
      </c>
      <c r="I35" s="362">
        <f>$F$11</f>
        <v>13.698630136986301</v>
      </c>
      <c r="J35" s="157">
        <v>126</v>
      </c>
      <c r="K35" s="124">
        <v>10</v>
      </c>
      <c r="L35" s="599">
        <f t="shared" si="25"/>
        <v>0.64188840650779</v>
      </c>
      <c r="M35" s="691">
        <f>L35*365</f>
        <v>234.28926837534334</v>
      </c>
      <c r="N35" s="354">
        <f>+($H35/$J35)*Q$11*$D35</f>
        <v>2342.8926837534341</v>
      </c>
      <c r="O35" s="354">
        <f>+$F35+$N35</f>
        <v>29842.892683753435</v>
      </c>
      <c r="P35" s="354">
        <f>+$O35/Q$11</f>
        <v>2984.2892683753435</v>
      </c>
      <c r="Q35" s="147">
        <f t="shared" ref="Q35:Q42" si="31">+((Q$11*($H35/$J35)*$E35)/2000)</f>
        <v>0</v>
      </c>
      <c r="R35"/>
      <c r="S35" s="774">
        <f t="shared" ref="S35:S40" si="32">$O$41-O35</f>
        <v>-7202.0545775968239</v>
      </c>
      <c r="T35" s="782"/>
      <c r="U35" s="783"/>
      <c r="V35" s="261"/>
      <c r="W35" s="262"/>
      <c r="X35" s="263"/>
      <c r="Y35" s="610"/>
      <c r="Z35" s="4"/>
      <c r="AA35" s="4"/>
      <c r="AB35" s="4"/>
    </row>
    <row r="36" spans="1:28" ht="19.2" customHeight="1" thickBot="1" x14ac:dyDescent="0.4">
      <c r="A36" s="930"/>
      <c r="B36" s="153" t="s">
        <v>283</v>
      </c>
      <c r="C36" s="146" t="s">
        <v>53</v>
      </c>
      <c r="D36" s="346" t="str">
        <f>IF(C36="gasoline",$J$3,IF(C36="electric",$J$5, IF(C36="cng",$J$2, IF(C36="biodiesel",$J$4,IF(C36="bicycle",$J$7,IF(C36="diesel",$J$4, IF(C36="plug-in", $J$6)))))))</f>
        <v>See EV</v>
      </c>
      <c r="E36" s="357">
        <f t="shared" si="30"/>
        <v>23</v>
      </c>
      <c r="F36" s="351">
        <f>32180-G36</f>
        <v>24680</v>
      </c>
      <c r="G36" s="692">
        <f>IF(C36="electric",'Enter Your Data'!$J$14,IF(C36="plug-in",'Enter Your Data'!$J$14,0))</f>
        <v>7500</v>
      </c>
      <c r="H36" s="362">
        <f t="shared" si="8"/>
        <v>5000</v>
      </c>
      <c r="I36" s="362">
        <f>$F$11</f>
        <v>13.698630136986301</v>
      </c>
      <c r="J36" s="157">
        <f>(97+42)/2</f>
        <v>69.5</v>
      </c>
      <c r="K36" s="124">
        <v>10</v>
      </c>
      <c r="L36" s="601">
        <f>IF(I36&gt;'EV Details'!D13,((('EV Details'!D13/'EV Details'!E13)*'Passenger Cars'!$J$5)+((('Passenger Cars'!I36-'EV Details'!D13)/'EV Details'!F13)*'Passenger Cars'!$J$3)),('Passenger Cars'!I36/'EV Details'!E13)*'Passenger Cars'!$J$5)</f>
        <v>0.83379318783486134</v>
      </c>
      <c r="M36" s="691">
        <f t="shared" ref="M36:M42" si="33">L36*365</f>
        <v>304.33451355972437</v>
      </c>
      <c r="N36" s="354">
        <f>L36*365*10</f>
        <v>3043.3451355972438</v>
      </c>
      <c r="O36" s="354">
        <f>+$F36+$N36</f>
        <v>27723.345135597243</v>
      </c>
      <c r="P36" s="354">
        <f>+$O36/Q$11</f>
        <v>2772.3345135597242</v>
      </c>
      <c r="Q36" s="147">
        <f t="shared" si="31"/>
        <v>8.2733812949640271</v>
      </c>
      <c r="R36"/>
      <c r="S36" s="774">
        <f t="shared" si="32"/>
        <v>-5082.5070294406323</v>
      </c>
      <c r="T36" s="797"/>
      <c r="U36" s="831">
        <f>O38-O36</f>
        <v>-176.09211833587324</v>
      </c>
      <c r="V36" s="261"/>
      <c r="W36" s="262"/>
      <c r="X36" s="263"/>
      <c r="Y36" s="610"/>
      <c r="Z36" s="4"/>
      <c r="AA36" s="4"/>
      <c r="AB36" s="4"/>
    </row>
    <row r="37" spans="1:28" ht="19.2" customHeight="1" x14ac:dyDescent="0.35">
      <c r="A37" s="930"/>
      <c r="B37" s="122" t="s">
        <v>282</v>
      </c>
      <c r="C37" s="122" t="s">
        <v>42</v>
      </c>
      <c r="D37" s="346">
        <f t="shared" si="4"/>
        <v>2.4965363879402309</v>
      </c>
      <c r="E37" s="357">
        <f t="shared" si="30"/>
        <v>23</v>
      </c>
      <c r="F37" s="351">
        <v>25295</v>
      </c>
      <c r="G37" s="686">
        <f>IF(C37="electric",'Enter Your Data'!$J$14,IF(C37="plug-in",'Enter Your Data'!$J$14,0))</f>
        <v>0</v>
      </c>
      <c r="H37" s="362">
        <f t="shared" si="8"/>
        <v>5000</v>
      </c>
      <c r="I37" s="362">
        <f t="shared" ref="I37:I45" si="34">$F$11</f>
        <v>13.698630136986301</v>
      </c>
      <c r="J37" s="157">
        <v>43</v>
      </c>
      <c r="K37" s="124">
        <v>9</v>
      </c>
      <c r="L37" s="599">
        <f t="shared" si="25"/>
        <v>0.79532857213769703</v>
      </c>
      <c r="M37" s="691">
        <f t="shared" si="33"/>
        <v>290.29492883025944</v>
      </c>
      <c r="N37" s="354">
        <f t="shared" ref="N37:N41" si="35">+($H37/$J37)*Q$11*$D37</f>
        <v>2902.9492883025937</v>
      </c>
      <c r="O37" s="354">
        <f t="shared" ref="O37:O45" si="36">+$F37+$N37</f>
        <v>28197.949288302592</v>
      </c>
      <c r="P37" s="354">
        <f t="shared" ref="P37:P45" si="37">+$O37/Q$11</f>
        <v>2819.7949288302593</v>
      </c>
      <c r="Q37" s="689">
        <f t="shared" si="31"/>
        <v>13.372093023255811</v>
      </c>
      <c r="R37"/>
      <c r="S37" s="774">
        <f t="shared" si="32"/>
        <v>-5557.1111821459817</v>
      </c>
      <c r="T37" s="798"/>
      <c r="U37" s="832">
        <f>O38-O37</f>
        <v>-650.69627104122264</v>
      </c>
      <c r="V37" s="261"/>
      <c r="W37" s="262"/>
      <c r="X37" s="263"/>
      <c r="Y37" s="610"/>
      <c r="Z37" s="4"/>
      <c r="AA37" s="4"/>
      <c r="AB37" s="4"/>
    </row>
    <row r="38" spans="1:28" s="105" customFormat="1" ht="19.2" customHeight="1" x14ac:dyDescent="0.35">
      <c r="A38" s="930"/>
      <c r="B38" s="122" t="s">
        <v>284</v>
      </c>
      <c r="C38" s="122" t="s">
        <v>42</v>
      </c>
      <c r="D38" s="346">
        <f t="shared" si="4"/>
        <v>2.4965363879402309</v>
      </c>
      <c r="E38" s="357">
        <f t="shared" si="30"/>
        <v>23</v>
      </c>
      <c r="F38" s="351">
        <v>22120</v>
      </c>
      <c r="G38" s="686">
        <f>IF(C38="electric",'Enter Your Data'!$J$14,IF(C38="plug-in",'Enter Your Data'!$J$14,0))</f>
        <v>0</v>
      </c>
      <c r="H38" s="362">
        <f t="shared" si="8"/>
        <v>5000</v>
      </c>
      <c r="I38" s="362">
        <f t="shared" si="34"/>
        <v>13.698630136986301</v>
      </c>
      <c r="J38" s="157">
        <v>23</v>
      </c>
      <c r="K38" s="124">
        <v>6</v>
      </c>
      <c r="L38" s="599">
        <f t="shared" si="25"/>
        <v>1.4869186348661292</v>
      </c>
      <c r="M38" s="691">
        <f t="shared" si="33"/>
        <v>542.7253017261371</v>
      </c>
      <c r="N38" s="354">
        <f t="shared" si="35"/>
        <v>5427.2530172613715</v>
      </c>
      <c r="O38" s="354">
        <f t="shared" si="36"/>
        <v>27547.25301726137</v>
      </c>
      <c r="P38" s="354">
        <f t="shared" si="37"/>
        <v>2754.7253017261369</v>
      </c>
      <c r="Q38" s="689">
        <f t="shared" si="31"/>
        <v>25</v>
      </c>
      <c r="R38"/>
      <c r="S38" s="774">
        <f t="shared" si="32"/>
        <v>-4906.4149111047591</v>
      </c>
      <c r="T38" s="784"/>
      <c r="U38" s="785"/>
      <c r="V38" s="195"/>
      <c r="W38" s="145"/>
      <c r="X38" s="264"/>
      <c r="Y38" s="106"/>
      <c r="Z38" s="107"/>
      <c r="AA38" s="107"/>
      <c r="AB38" s="107"/>
    </row>
    <row r="39" spans="1:28" ht="19.95" customHeight="1" x14ac:dyDescent="0.35">
      <c r="A39" s="930"/>
      <c r="B39" s="122" t="s">
        <v>63</v>
      </c>
      <c r="C39" s="122" t="s">
        <v>42</v>
      </c>
      <c r="D39" s="346">
        <f t="shared" si="4"/>
        <v>2.4965363879402309</v>
      </c>
      <c r="E39" s="357">
        <f t="shared" si="30"/>
        <v>23</v>
      </c>
      <c r="F39" s="351">
        <v>27875</v>
      </c>
      <c r="G39" s="686">
        <f>IF(C39="electric",'Enter Your Data'!$J$14,IF(C39="plug-in",'Enter Your Data'!$J$14,0))</f>
        <v>0</v>
      </c>
      <c r="H39" s="362">
        <f t="shared" si="8"/>
        <v>5000</v>
      </c>
      <c r="I39" s="362">
        <f t="shared" si="34"/>
        <v>13.698630136986301</v>
      </c>
      <c r="J39" s="157">
        <v>49</v>
      </c>
      <c r="K39" s="124">
        <v>10</v>
      </c>
      <c r="L39" s="599">
        <f t="shared" si="25"/>
        <v>0.69794140003920346</v>
      </c>
      <c r="M39" s="691">
        <f t="shared" si="33"/>
        <v>254.74861101430926</v>
      </c>
      <c r="N39" s="354">
        <f t="shared" si="35"/>
        <v>2547.4861101430929</v>
      </c>
      <c r="O39" s="354">
        <f t="shared" si="36"/>
        <v>30422.486110143094</v>
      </c>
      <c r="P39" s="354">
        <f t="shared" si="37"/>
        <v>3042.2486110143095</v>
      </c>
      <c r="Q39" s="689">
        <f t="shared" si="31"/>
        <v>11.73469387755102</v>
      </c>
      <c r="R39"/>
      <c r="S39" s="774">
        <f t="shared" si="32"/>
        <v>-7781.6480039864837</v>
      </c>
      <c r="T39" s="799"/>
      <c r="U39" s="800">
        <f>O40-O39</f>
        <v>-3249.270576920444</v>
      </c>
      <c r="V39" s="195"/>
      <c r="W39" s="145"/>
      <c r="X39" s="189"/>
      <c r="Y39" s="610"/>
      <c r="Z39" s="4"/>
      <c r="AA39" s="4"/>
      <c r="AB39" s="4"/>
    </row>
    <row r="40" spans="1:28" ht="19.95" customHeight="1" thickBot="1" x14ac:dyDescent="0.4">
      <c r="A40" s="930"/>
      <c r="B40" s="122" t="s">
        <v>64</v>
      </c>
      <c r="C40" s="122" t="s">
        <v>42</v>
      </c>
      <c r="D40" s="346">
        <f t="shared" si="4"/>
        <v>2.4965363879402309</v>
      </c>
      <c r="E40" s="357">
        <f t="shared" si="30"/>
        <v>23</v>
      </c>
      <c r="F40" s="351">
        <v>22550</v>
      </c>
      <c r="G40" s="686">
        <f>IF(C40="electric",'Enter Your Data'!$J$14,IF(C40="plug-in",'Enter Your Data'!$J$14,0))</f>
        <v>0</v>
      </c>
      <c r="H40" s="362">
        <f t="shared" si="8"/>
        <v>5000</v>
      </c>
      <c r="I40" s="362">
        <f t="shared" si="34"/>
        <v>13.698630136986301</v>
      </c>
      <c r="J40" s="157">
        <v>27</v>
      </c>
      <c r="K40" s="158">
        <v>7</v>
      </c>
      <c r="L40" s="599">
        <f t="shared" si="25"/>
        <v>1.2666343926637396</v>
      </c>
      <c r="M40" s="691">
        <f t="shared" si="33"/>
        <v>462.32155332226495</v>
      </c>
      <c r="N40" s="354">
        <f>+($H40/$J40)*Q$11*$D40</f>
        <v>4623.2155332226503</v>
      </c>
      <c r="O40" s="354">
        <f>+$F40+$N40</f>
        <v>27173.21553322265</v>
      </c>
      <c r="P40" s="354">
        <f>+$O40/Q$11</f>
        <v>2717.3215533222651</v>
      </c>
      <c r="Q40" s="689">
        <f t="shared" si="31"/>
        <v>21.296296296296298</v>
      </c>
      <c r="R40"/>
      <c r="S40" s="774">
        <f t="shared" si="32"/>
        <v>-4532.3774270660397</v>
      </c>
      <c r="T40" s="793"/>
      <c r="U40" s="793"/>
      <c r="V40" s="195"/>
      <c r="W40" s="145"/>
      <c r="X40" s="189"/>
      <c r="Y40" s="610"/>
      <c r="Z40" s="4"/>
      <c r="AA40" s="4"/>
      <c r="AB40" s="4"/>
    </row>
    <row r="41" spans="1:28" s="49" customFormat="1" ht="19.2" customHeight="1" x14ac:dyDescent="0.35">
      <c r="A41" s="930"/>
      <c r="B41" s="122" t="s">
        <v>65</v>
      </c>
      <c r="C41" s="122" t="s">
        <v>42</v>
      </c>
      <c r="D41" s="346">
        <f t="shared" si="4"/>
        <v>2.4965363879402309</v>
      </c>
      <c r="E41" s="357">
        <f t="shared" si="30"/>
        <v>23</v>
      </c>
      <c r="F41" s="351">
        <v>18740</v>
      </c>
      <c r="G41" s="686">
        <f>IF(C41="electric",'Enter Your Data'!$J$14,IF(C41="plug-in",'Enter Your Data'!$J$14,0))</f>
        <v>0</v>
      </c>
      <c r="H41" s="362">
        <f t="shared" si="8"/>
        <v>5000</v>
      </c>
      <c r="I41" s="362">
        <f t="shared" si="34"/>
        <v>13.698630136986301</v>
      </c>
      <c r="J41" s="157">
        <v>32</v>
      </c>
      <c r="K41" s="124">
        <v>8</v>
      </c>
      <c r="L41" s="599">
        <f t="shared" si="25"/>
        <v>1.0687227688100303</v>
      </c>
      <c r="M41" s="691">
        <f t="shared" si="33"/>
        <v>390.08381061566104</v>
      </c>
      <c r="N41" s="354">
        <f t="shared" si="35"/>
        <v>3900.8381061566106</v>
      </c>
      <c r="O41" s="354">
        <f t="shared" si="36"/>
        <v>22640.838106156611</v>
      </c>
      <c r="P41" s="354">
        <f t="shared" si="37"/>
        <v>2264.0838106156612</v>
      </c>
      <c r="Q41" s="689">
        <f t="shared" si="31"/>
        <v>17.96875</v>
      </c>
      <c r="R41"/>
      <c r="S41" s="784"/>
      <c r="T41" s="784"/>
      <c r="U41" s="784"/>
      <c r="V41" s="196"/>
      <c r="W41" s="197" t="s">
        <v>43</v>
      </c>
      <c r="X41" s="193"/>
      <c r="Y41" s="69"/>
      <c r="Z41" s="66"/>
      <c r="AA41" s="66"/>
      <c r="AB41" s="66"/>
    </row>
    <row r="42" spans="1:28" s="49" customFormat="1" ht="19.2" customHeight="1" x14ac:dyDescent="0.35">
      <c r="A42" s="930"/>
      <c r="B42" s="690" t="s">
        <v>294</v>
      </c>
      <c r="C42" s="690" t="s">
        <v>66</v>
      </c>
      <c r="D42" s="346">
        <f t="shared" ref="D42" si="38">IF(C42="gasoline",$J$3,IF(C42="electric",$J$5, IF(C42="cng",$J$2, IF(C42="biodiesel",$J$4,IF(C42="bicycle",$J$7,IF(C42="diesel",$J$4, IF(C42="plug-in", $J$6)))))))</f>
        <v>1.5091493431777381</v>
      </c>
      <c r="E42" s="357">
        <f t="shared" si="30"/>
        <v>14.6</v>
      </c>
      <c r="F42" s="687">
        <v>27400</v>
      </c>
      <c r="G42" s="686">
        <f>IF(C42="electric",'Enter Your Data'!$J$14,IF(C42="plug-in",'Enter Your Data'!$J$14,0))</f>
        <v>0</v>
      </c>
      <c r="H42" s="362">
        <f t="shared" si="8"/>
        <v>5000</v>
      </c>
      <c r="I42" s="362">
        <f t="shared" si="34"/>
        <v>13.698630136986301</v>
      </c>
      <c r="J42" s="688">
        <v>29</v>
      </c>
      <c r="K42" s="688">
        <v>7</v>
      </c>
      <c r="L42" s="599">
        <f t="shared" ref="L42" si="39">IF(C42="electric",(I42/J42)*$J$5,IF(C42="gasoline",(I42/J42)*$J$3,IF(C42="biodiesel",(I42/J42)*$J$4,IF(C42="cng",(I42/J42)*$J$2,0))))</f>
        <v>0.71287167840233256</v>
      </c>
      <c r="M42" s="691">
        <f t="shared" si="33"/>
        <v>260.19816261685139</v>
      </c>
      <c r="N42" s="354">
        <f t="shared" ref="N42" si="40">+($H42/$J42)*Q$11*$D42</f>
        <v>2601.9816261685141</v>
      </c>
      <c r="O42" s="354">
        <f t="shared" si="36"/>
        <v>30001.981626168516</v>
      </c>
      <c r="P42" s="354">
        <f t="shared" ref="P42" si="41">+$O42/Q$11</f>
        <v>3000.1981626168517</v>
      </c>
      <c r="Q42" s="689">
        <f t="shared" si="31"/>
        <v>12.586206896551724</v>
      </c>
      <c r="R42"/>
      <c r="S42" s="774">
        <f t="shared" ref="S42" si="42">$O$41-O42</f>
        <v>-7361.1435200119049</v>
      </c>
      <c r="T42" s="784"/>
      <c r="U42" s="800">
        <f>O41-O42</f>
        <v>-7361.1435200119049</v>
      </c>
      <c r="V42" s="186"/>
      <c r="W42" s="141"/>
      <c r="X42" s="193"/>
      <c r="Y42" s="69"/>
      <c r="Z42" s="66"/>
      <c r="AA42" s="66"/>
      <c r="AB42" s="66"/>
    </row>
    <row r="43" spans="1:28" s="49" customFormat="1" ht="19.95" customHeight="1" x14ac:dyDescent="0.35">
      <c r="A43" s="273"/>
      <c r="B43" s="476"/>
      <c r="C43" s="477"/>
      <c r="D43" s="478"/>
      <c r="E43" s="479"/>
      <c r="F43" s="480"/>
      <c r="G43" s="481"/>
      <c r="H43" s="481"/>
      <c r="I43" s="481"/>
      <c r="J43" s="482"/>
      <c r="K43" s="483"/>
      <c r="L43" s="484"/>
      <c r="M43" s="694"/>
      <c r="N43" s="485"/>
      <c r="O43" s="485"/>
      <c r="P43" s="485"/>
      <c r="Q43" s="486"/>
      <c r="R43"/>
      <c r="S43"/>
      <c r="T43"/>
      <c r="U43"/>
      <c r="V43" s="684"/>
      <c r="W43" s="685"/>
      <c r="X43" s="264"/>
      <c r="Y43" s="69"/>
      <c r="Z43" s="66"/>
      <c r="AA43" s="66"/>
      <c r="AB43" s="66"/>
    </row>
    <row r="44" spans="1:28" s="49" customFormat="1" ht="21" customHeight="1" x14ac:dyDescent="0.4">
      <c r="A44" s="273"/>
      <c r="B44" s="467" t="s">
        <v>67</v>
      </c>
      <c r="C44" s="274"/>
      <c r="D44" s="275" t="b">
        <f t="shared" si="4"/>
        <v>0</v>
      </c>
      <c r="E44" s="275" t="b">
        <f t="shared" ref="E44" si="43">IF(D44="gasoline",$J$3,IF(D44="electric",$J$5, IF(D44="cng",$J$2, IF(D44="biodiesel",$J$4,IF(D44="bicycle",$J$7,IF(D44="diesel",$J$4, IF(D44="plug-in", $J$6)))))))</f>
        <v>0</v>
      </c>
      <c r="F44" s="275" t="b">
        <f t="shared" ref="F44" si="44">IF(E44="gasoline",$J$3,IF(E44="electric",$J$5, IF(E44="cng",$J$2, IF(E44="biodiesel",$J$4,IF(E44="bicycle",$J$7,IF(E44="diesel",$J$4, IF(E44="plug-in", $J$6)))))))</f>
        <v>0</v>
      </c>
      <c r="G44" s="275" t="b">
        <f t="shared" ref="G44:H44" si="45">IF(F44="gasoline",$J$3,IF(F44="electric",$J$5, IF(F44="cng",$J$2, IF(F44="biodiesel",$J$4,IF(F44="bicycle",$J$7,IF(F44="diesel",$J$4, IF(F44="plug-in", $J$6)))))))</f>
        <v>0</v>
      </c>
      <c r="H44" s="275" t="b">
        <f t="shared" si="45"/>
        <v>0</v>
      </c>
      <c r="I44" s="275" t="b">
        <f t="shared" ref="I44" si="46">IF(H44="gasoline",$J$3,IF(H44="electric",$J$5, IF(H44="cng",$J$2, IF(H44="biodiesel",$J$4,IF(H44="bicycle",$J$7,IF(H44="diesel",$J$4, IF(H44="plug-in", $J$6)))))))</f>
        <v>0</v>
      </c>
      <c r="J44" s="275" t="b">
        <f t="shared" ref="J44" si="47">IF(I44="gasoline",$J$3,IF(I44="electric",$J$5, IF(I44="cng",$J$2, IF(I44="biodiesel",$J$4,IF(I44="bicycle",$J$7,IF(I44="diesel",$J$4, IF(I44="plug-in", $J$6)))))))</f>
        <v>0</v>
      </c>
      <c r="K44" s="275" t="b">
        <f t="shared" ref="K44" si="48">IF(J44="gasoline",$J$3,IF(J44="electric",$J$5, IF(J44="cng",$J$2, IF(J44="biodiesel",$J$4,IF(J44="bicycle",$J$7,IF(J44="diesel",$J$4, IF(J44="plug-in", $J$6)))))))</f>
        <v>0</v>
      </c>
      <c r="L44" s="275" t="b">
        <f t="shared" ref="L44" si="49">IF(K44="gasoline",$J$3,IF(K44="electric",$J$5, IF(K44="cng",$J$2, IF(K44="biodiesel",$J$4,IF(K44="bicycle",$J$7,IF(K44="diesel",$J$4, IF(K44="plug-in", $J$6)))))))</f>
        <v>0</v>
      </c>
      <c r="M44" s="695"/>
      <c r="N44" s="275" t="b">
        <f t="shared" ref="N44" si="50">IF(L44="gasoline",$J$3,IF(L44="electric",$J$5, IF(L44="cng",$J$2, IF(L44="biodiesel",$J$4,IF(L44="bicycle",$J$7,IF(L44="diesel",$J$4, IF(L44="plug-in", $J$6)))))))</f>
        <v>0</v>
      </c>
      <c r="O44" s="275" t="b">
        <f t="shared" ref="O44" si="51">IF(N44="gasoline",$J$3,IF(N44="electric",$J$5, IF(N44="cng",$J$2, IF(N44="biodiesel",$J$4,IF(N44="bicycle",$J$7,IF(N44="diesel",$J$4, IF(N44="plug-in", $J$6)))))))</f>
        <v>0</v>
      </c>
      <c r="P44" s="275" t="b">
        <f t="shared" ref="P44" si="52">IF(O44="gasoline",$J$3,IF(O44="electric",$J$5, IF(O44="cng",$J$2, IF(O44="biodiesel",$J$4,IF(O44="bicycle",$J$7,IF(O44="diesel",$J$4, IF(O44="plug-in", $J$6)))))))</f>
        <v>0</v>
      </c>
      <c r="Q44" s="275" t="b">
        <f t="shared" ref="Q44" si="53">IF(P44="gasoline",$J$3,IF(P44="electric",$J$5, IF(P44="cng",$J$2, IF(P44="biodiesel",$J$4,IF(P44="bicycle",$J$7,IF(P44="diesel",$J$4, IF(P44="plug-in", $J$6)))))))</f>
        <v>0</v>
      </c>
      <c r="R44"/>
      <c r="S44"/>
      <c r="T44"/>
      <c r="U44"/>
      <c r="V44" s="211"/>
      <c r="W44" s="141"/>
      <c r="X44" s="193"/>
      <c r="Y44" s="69"/>
      <c r="Z44" s="66"/>
      <c r="AA44" s="66"/>
      <c r="AB44" s="66"/>
    </row>
    <row r="45" spans="1:28" s="49" customFormat="1" ht="27" customHeight="1" x14ac:dyDescent="0.35">
      <c r="A45" s="273"/>
      <c r="B45" s="748" t="str">
        <f>'Enter Your Data'!B12</f>
        <v>Vehicle Name</v>
      </c>
      <c r="C45" s="748" t="str">
        <f>'Enter Your Data'!C13</f>
        <v>gasoline</v>
      </c>
      <c r="D45" s="749">
        <f t="shared" si="4"/>
        <v>2.4965363879402309</v>
      </c>
      <c r="E45" s="750">
        <f>IF($C45="gasoline",$S$76,IF($C45="electric",0,IF($C45="cng",$S$77,IF($C45="biodiesel",$S$80,IF($C45="diesel",$S$79,IF($C45="plug-in",$S$81))))))</f>
        <v>23</v>
      </c>
      <c r="F45" s="640">
        <f>'Enter Your Data'!E13</f>
        <v>0</v>
      </c>
      <c r="G45" s="751">
        <f>IF(C45="electric",'Enter Your Data'!$J$14,IF(C45="plug-in",'Enter Your Data'!$J$14,0))</f>
        <v>0</v>
      </c>
      <c r="H45" s="752">
        <f>+$F$9</f>
        <v>5000</v>
      </c>
      <c r="I45" s="752">
        <f t="shared" si="34"/>
        <v>13.698630136986301</v>
      </c>
      <c r="J45" s="641">
        <f>IF(C45="plug-in",AVERAGE('Enter Your Data'!E15:F15),'Enter Your Data'!D12)</f>
        <v>0</v>
      </c>
      <c r="K45" s="753">
        <f>'Enter Your Data'!F12</f>
        <v>0</v>
      </c>
      <c r="L45" s="754" t="e">
        <f>IF(C45="electric",(I45/J45)*$J$5,IF(C45="gasoline",(I45/J45)*$J$3,IF(C45="biodiesel",(I45/J45)*$J$4,IF(C45="cng",(I45/J45)*$J$2,IF(C45="plug-in",(IF(I26&gt;'EV Details'!D16,((('EV Details'!D16/'EV Details'!E16)*'Passenger Cars'!$J$5)+((('Passenger Cars'!I45-'EV Details'!D16)/'EV Details'!F16)*'Passenger Cars'!$J$3)),('Passenger Cars'!I45/'EV Details'!E16)*'Passenger Cars'!$J$5)),0)))))</f>
        <v>#DIV/0!</v>
      </c>
      <c r="M45" s="755" t="e">
        <f>L45*365</f>
        <v>#DIV/0!</v>
      </c>
      <c r="N45" s="756" t="e">
        <f>L45*365*10</f>
        <v>#DIV/0!</v>
      </c>
      <c r="O45" s="756" t="e">
        <f t="shared" si="36"/>
        <v>#DIV/0!</v>
      </c>
      <c r="P45" s="756" t="e">
        <f t="shared" si="37"/>
        <v>#DIV/0!</v>
      </c>
      <c r="Q45" s="757" t="e">
        <f>((Q$11*($H45/$J45)*$E45)/2000)</f>
        <v>#DIV/0!</v>
      </c>
      <c r="R45"/>
      <c r="S45"/>
      <c r="T45"/>
      <c r="U45"/>
      <c r="V45" s="211"/>
      <c r="W45" s="141"/>
      <c r="X45" s="193"/>
      <c r="Y45" s="69"/>
      <c r="Z45" s="66"/>
      <c r="AA45" s="66"/>
      <c r="AB45" s="66"/>
    </row>
    <row r="46" spans="1:28" s="49" customFormat="1" ht="22.2" customHeight="1" x14ac:dyDescent="0.35">
      <c r="A46" s="273"/>
      <c r="B46" s="116"/>
      <c r="C46" s="116"/>
      <c r="D46" s="116"/>
      <c r="E46" s="116"/>
      <c r="F46" s="116"/>
      <c r="G46" s="116"/>
      <c r="H46" s="117"/>
      <c r="I46" s="117"/>
      <c r="J46" s="118"/>
      <c r="K46" s="119"/>
      <c r="L46"/>
      <c r="M46"/>
      <c r="N46"/>
      <c r="O46"/>
      <c r="P46"/>
      <c r="Q46"/>
      <c r="R46"/>
      <c r="S46"/>
      <c r="T46"/>
      <c r="U46"/>
      <c r="V46" s="211"/>
      <c r="W46" s="141"/>
      <c r="X46" s="193"/>
      <c r="Y46" s="69"/>
      <c r="Z46" s="66"/>
      <c r="AA46" s="66"/>
      <c r="AB46" s="66"/>
    </row>
    <row r="47" spans="1:28" ht="18" customHeight="1" x14ac:dyDescent="0.35">
      <c r="A47" s="273"/>
      <c r="B47" s="956" t="s">
        <v>69</v>
      </c>
      <c r="C47" s="957"/>
      <c r="D47" s="957"/>
      <c r="E47" s="957"/>
      <c r="F47" s="957"/>
      <c r="G47" s="957"/>
      <c r="H47" s="957"/>
      <c r="I47" s="957"/>
      <c r="J47" s="957"/>
      <c r="K47" s="958"/>
      <c r="Q47"/>
      <c r="R47"/>
      <c r="S47"/>
      <c r="T47"/>
      <c r="U47"/>
      <c r="X47"/>
      <c r="Y47"/>
      <c r="AA47" s="4"/>
      <c r="AB47" s="4"/>
    </row>
    <row r="48" spans="1:28" ht="18" customHeight="1" x14ac:dyDescent="0.35">
      <c r="A48" s="273"/>
      <c r="B48" s="116"/>
      <c r="C48" s="116"/>
      <c r="D48" s="116"/>
      <c r="E48" s="116"/>
      <c r="F48" s="116"/>
      <c r="G48" s="116"/>
      <c r="H48" s="120"/>
      <c r="I48" s="120"/>
      <c r="J48" s="121"/>
      <c r="K48" s="84"/>
      <c r="Q48"/>
      <c r="R48"/>
      <c r="S48"/>
      <c r="T48"/>
      <c r="U48"/>
      <c r="X48"/>
      <c r="Y48"/>
      <c r="AA48" s="4"/>
      <c r="AB48" s="4"/>
    </row>
    <row r="49" spans="1:28" ht="19.5" hidden="1" customHeight="1" thickBot="1" x14ac:dyDescent="0.4">
      <c r="A49" s="273"/>
      <c r="B49" s="606"/>
      <c r="C49" s="606"/>
      <c r="D49" s="606"/>
      <c r="E49" s="606"/>
      <c r="F49" s="112"/>
      <c r="G49" s="91"/>
      <c r="H49" s="113"/>
      <c r="I49" s="126"/>
      <c r="J49" s="114"/>
      <c r="K49" s="115"/>
      <c r="Q49"/>
      <c r="R49"/>
      <c r="S49"/>
      <c r="T49"/>
      <c r="U49"/>
      <c r="X49"/>
      <c r="Y49"/>
      <c r="AA49" s="4"/>
      <c r="AB49" s="4"/>
    </row>
    <row r="50" spans="1:28" ht="19.5" hidden="1" customHeight="1" thickBot="1" x14ac:dyDescent="0.4">
      <c r="A50" s="273"/>
      <c r="B50" s="606"/>
      <c r="C50" s="606"/>
      <c r="D50" s="606"/>
      <c r="E50" s="606"/>
      <c r="F50" s="603"/>
      <c r="G50" s="92"/>
      <c r="H50" s="52" t="s">
        <v>70</v>
      </c>
      <c r="I50" s="127"/>
      <c r="J50" s="29">
        <v>14900</v>
      </c>
      <c r="K50" s="44">
        <v>30</v>
      </c>
      <c r="Q50"/>
      <c r="R50"/>
      <c r="S50"/>
      <c r="T50"/>
      <c r="U50"/>
      <c r="X50"/>
      <c r="Y50"/>
      <c r="AA50" s="4"/>
      <c r="AB50" s="4"/>
    </row>
    <row r="51" spans="1:28" ht="14.25" hidden="1" customHeight="1" thickBot="1" x14ac:dyDescent="0.4">
      <c r="A51" s="273"/>
      <c r="B51" s="607"/>
      <c r="C51" s="606"/>
      <c r="D51" s="606"/>
      <c r="E51" s="606"/>
      <c r="F51" s="14"/>
      <c r="G51" s="93"/>
      <c r="H51" s="53" t="s">
        <v>71</v>
      </c>
      <c r="I51" s="128"/>
      <c r="J51" s="30">
        <v>32780</v>
      </c>
      <c r="K51" s="44">
        <v>28</v>
      </c>
      <c r="Q51"/>
      <c r="R51"/>
      <c r="S51"/>
      <c r="T51"/>
      <c r="U51"/>
      <c r="X51"/>
      <c r="Y51"/>
      <c r="AA51" s="4"/>
      <c r="AB51" s="4"/>
    </row>
    <row r="52" spans="1:28" ht="15.75" hidden="1" customHeight="1" thickBot="1" x14ac:dyDescent="0.4">
      <c r="A52" s="273"/>
      <c r="B52" s="907">
        <v>2011.1</v>
      </c>
      <c r="C52" s="608"/>
      <c r="D52" s="608"/>
      <c r="E52" s="608"/>
      <c r="F52" s="903" t="s">
        <v>72</v>
      </c>
      <c r="G52" s="94"/>
      <c r="H52" s="54" t="s">
        <v>73</v>
      </c>
      <c r="I52" s="129"/>
      <c r="J52" s="31">
        <v>16500</v>
      </c>
      <c r="K52" s="46">
        <v>22</v>
      </c>
      <c r="Q52"/>
      <c r="R52"/>
      <c r="S52"/>
      <c r="T52"/>
      <c r="U52"/>
      <c r="X52"/>
      <c r="Y52"/>
      <c r="AA52" s="4"/>
      <c r="AB52" s="4"/>
    </row>
    <row r="53" spans="1:28" ht="19.5" hidden="1" customHeight="1" thickBot="1" x14ac:dyDescent="0.4">
      <c r="A53" s="273"/>
      <c r="B53" s="908"/>
      <c r="C53" s="609"/>
      <c r="D53" s="609"/>
      <c r="E53" s="609"/>
      <c r="F53" s="904"/>
      <c r="G53" s="95"/>
      <c r="H53" s="55" t="s">
        <v>74</v>
      </c>
      <c r="I53" s="130"/>
      <c r="J53" s="32">
        <f>+J52+12348</f>
        <v>28848</v>
      </c>
      <c r="K53" s="47">
        <v>20</v>
      </c>
      <c r="Q53"/>
      <c r="R53"/>
      <c r="S53"/>
      <c r="T53"/>
      <c r="U53"/>
      <c r="X53"/>
      <c r="Y53"/>
      <c r="AA53" s="4"/>
      <c r="AB53" s="4"/>
    </row>
    <row r="54" spans="1:28" ht="19.5" hidden="1" customHeight="1" thickBot="1" x14ac:dyDescent="0.4">
      <c r="A54" s="273"/>
      <c r="B54" s="901"/>
      <c r="C54" s="606"/>
      <c r="D54" s="606"/>
      <c r="E54" s="606"/>
      <c r="F54" s="904"/>
      <c r="G54" s="95"/>
      <c r="H54" s="56"/>
      <c r="I54" s="131"/>
      <c r="J54" s="33"/>
      <c r="K54" s="48"/>
      <c r="Q54"/>
      <c r="R54"/>
      <c r="S54"/>
      <c r="T54"/>
      <c r="U54"/>
      <c r="X54"/>
      <c r="Y54"/>
      <c r="AA54" s="4"/>
      <c r="AB54" s="4"/>
    </row>
    <row r="55" spans="1:28" ht="18.75" hidden="1" customHeight="1" thickBot="1" x14ac:dyDescent="0.4">
      <c r="A55" s="273"/>
      <c r="B55" s="901"/>
      <c r="C55" s="606"/>
      <c r="D55" s="606"/>
      <c r="E55" s="606"/>
      <c r="F55" s="904"/>
      <c r="G55" s="95"/>
      <c r="H55" s="55" t="s">
        <v>75</v>
      </c>
      <c r="I55" s="130"/>
      <c r="J55" s="32">
        <v>27500</v>
      </c>
      <c r="K55" s="47">
        <v>15</v>
      </c>
      <c r="Q55"/>
      <c r="R55"/>
      <c r="S55"/>
      <c r="T55"/>
      <c r="U55"/>
      <c r="X55"/>
      <c r="Y55"/>
      <c r="AA55" s="4"/>
      <c r="AB55" s="4"/>
    </row>
    <row r="56" spans="1:28" ht="19.5" hidden="1" customHeight="1" thickBot="1" x14ac:dyDescent="0.4">
      <c r="A56" s="273"/>
      <c r="B56" s="901"/>
      <c r="C56" s="606"/>
      <c r="D56" s="606"/>
      <c r="E56" s="606"/>
      <c r="F56" s="904"/>
      <c r="G56" s="95"/>
      <c r="H56" s="55" t="s">
        <v>76</v>
      </c>
      <c r="I56" s="130"/>
      <c r="J56" s="32"/>
      <c r="K56" s="47">
        <v>14</v>
      </c>
      <c r="Q56"/>
      <c r="R56"/>
      <c r="S56"/>
      <c r="T56"/>
      <c r="U56"/>
      <c r="X56"/>
      <c r="Y56"/>
      <c r="AA56" s="4"/>
      <c r="AB56" s="4"/>
    </row>
    <row r="57" spans="1:28" ht="19.5" hidden="1" customHeight="1" thickBot="1" x14ac:dyDescent="0.4">
      <c r="A57" s="273"/>
      <c r="B57" s="901"/>
      <c r="C57" s="606"/>
      <c r="D57" s="606"/>
      <c r="E57" s="606"/>
      <c r="F57" s="904"/>
      <c r="G57" s="95"/>
      <c r="H57" s="56"/>
      <c r="I57" s="131"/>
      <c r="J57" s="33"/>
      <c r="K57" s="48"/>
      <c r="Q57"/>
      <c r="R57"/>
      <c r="S57"/>
      <c r="T57"/>
      <c r="U57"/>
      <c r="X57"/>
      <c r="Y57"/>
      <c r="AA57" s="4"/>
      <c r="AB57" s="4"/>
    </row>
    <row r="58" spans="1:28" ht="19.5" hidden="1" customHeight="1" thickBot="1" x14ac:dyDescent="0.4">
      <c r="A58" s="273"/>
      <c r="B58" s="901"/>
      <c r="C58" s="606"/>
      <c r="D58" s="606"/>
      <c r="E58" s="606"/>
      <c r="F58" s="904"/>
      <c r="G58" s="95"/>
      <c r="H58" s="55" t="s">
        <v>77</v>
      </c>
      <c r="I58" s="130"/>
      <c r="J58" s="34">
        <v>26000</v>
      </c>
      <c r="K58" s="44">
        <v>10</v>
      </c>
      <c r="Q58"/>
      <c r="R58"/>
      <c r="S58"/>
      <c r="T58"/>
      <c r="U58"/>
      <c r="X58"/>
      <c r="Y58"/>
      <c r="AA58" s="4"/>
      <c r="AB58" s="4"/>
    </row>
    <row r="59" spans="1:28" ht="19.5" hidden="1" customHeight="1" thickBot="1" x14ac:dyDescent="0.4">
      <c r="A59" s="273"/>
      <c r="B59" s="901"/>
      <c r="C59" s="606"/>
      <c r="D59" s="606"/>
      <c r="E59" s="606"/>
      <c r="F59" s="909"/>
      <c r="G59" s="96"/>
      <c r="H59" s="26" t="s">
        <v>78</v>
      </c>
      <c r="I59" s="132"/>
      <c r="J59" s="35">
        <v>39500</v>
      </c>
      <c r="K59" s="44">
        <v>9</v>
      </c>
      <c r="Q59"/>
      <c r="R59"/>
      <c r="S59"/>
      <c r="T59"/>
      <c r="U59"/>
      <c r="X59"/>
      <c r="Y59"/>
      <c r="AA59" s="4"/>
      <c r="AB59" s="4"/>
    </row>
    <row r="60" spans="1:28" ht="19.5" hidden="1" customHeight="1" thickBot="1" x14ac:dyDescent="0.4">
      <c r="A60" s="273"/>
      <c r="B60" s="900"/>
      <c r="C60" s="605"/>
      <c r="D60" s="605"/>
      <c r="E60" s="605"/>
      <c r="F60" s="903" t="s">
        <v>79</v>
      </c>
      <c r="G60" s="94"/>
      <c r="H60" s="54" t="s">
        <v>80</v>
      </c>
      <c r="I60" s="129"/>
      <c r="J60" s="36">
        <v>30000</v>
      </c>
      <c r="K60" s="44">
        <v>13</v>
      </c>
      <c r="Q60"/>
      <c r="R60"/>
      <c r="S60"/>
      <c r="T60"/>
      <c r="U60"/>
      <c r="X60"/>
      <c r="Y60"/>
      <c r="AA60" s="4"/>
      <c r="AB60" s="4"/>
    </row>
    <row r="61" spans="1:28" ht="19.5" hidden="1" customHeight="1" thickBot="1" x14ac:dyDescent="0.4">
      <c r="A61" s="273"/>
      <c r="B61" s="901"/>
      <c r="C61" s="606"/>
      <c r="D61" s="606"/>
      <c r="E61" s="606"/>
      <c r="F61" s="904"/>
      <c r="G61" s="95"/>
      <c r="H61" s="55" t="s">
        <v>81</v>
      </c>
      <c r="I61" s="130"/>
      <c r="J61" s="34">
        <v>43000</v>
      </c>
      <c r="K61" s="44">
        <v>12</v>
      </c>
      <c r="Q61"/>
      <c r="R61"/>
      <c r="S61"/>
      <c r="T61"/>
      <c r="U61"/>
      <c r="X61"/>
      <c r="Y61"/>
      <c r="AA61" s="4"/>
      <c r="AB61" s="4"/>
    </row>
    <row r="62" spans="1:28" ht="19.5" hidden="1" customHeight="1" thickBot="1" x14ac:dyDescent="0.4">
      <c r="A62" s="273"/>
      <c r="B62" s="901"/>
      <c r="C62" s="606"/>
      <c r="D62" s="606"/>
      <c r="E62" s="606"/>
      <c r="F62" s="904"/>
      <c r="G62" s="95"/>
      <c r="H62" s="51"/>
      <c r="I62" s="133"/>
      <c r="J62" s="37"/>
      <c r="K62" s="44"/>
      <c r="Q62"/>
      <c r="R62"/>
      <c r="S62"/>
      <c r="T62"/>
      <c r="U62"/>
      <c r="X62"/>
      <c r="Y62"/>
      <c r="AA62" s="4"/>
      <c r="AB62" s="4"/>
    </row>
    <row r="63" spans="1:28" ht="19.5" hidden="1" customHeight="1" thickBot="1" x14ac:dyDescent="0.4">
      <c r="A63" s="273"/>
      <c r="B63" s="901"/>
      <c r="C63" s="606"/>
      <c r="D63" s="606"/>
      <c r="E63" s="606"/>
      <c r="F63" s="905"/>
      <c r="G63" s="97"/>
      <c r="H63" s="55" t="s">
        <v>82</v>
      </c>
      <c r="I63" s="130"/>
      <c r="J63" s="34">
        <v>29000</v>
      </c>
      <c r="K63" s="44">
        <v>13</v>
      </c>
      <c r="Q63"/>
      <c r="R63"/>
      <c r="S63"/>
      <c r="T63"/>
      <c r="U63"/>
      <c r="X63"/>
      <c r="Y63"/>
      <c r="AA63" s="4"/>
      <c r="AB63" s="4"/>
    </row>
    <row r="64" spans="1:28" ht="19.5" hidden="1" customHeight="1" thickBot="1" x14ac:dyDescent="0.4">
      <c r="A64" s="273"/>
      <c r="B64" s="902"/>
      <c r="C64" s="607"/>
      <c r="D64" s="607"/>
      <c r="E64" s="607"/>
      <c r="F64" s="906"/>
      <c r="G64" s="98"/>
      <c r="H64" s="57" t="s">
        <v>83</v>
      </c>
      <c r="I64" s="134"/>
      <c r="J64" s="38">
        <f>29000+13500</f>
        <v>42500</v>
      </c>
      <c r="K64" s="44">
        <v>12</v>
      </c>
      <c r="Q64"/>
      <c r="R64"/>
      <c r="S64"/>
      <c r="T64"/>
      <c r="U64"/>
      <c r="X64"/>
      <c r="Y64"/>
      <c r="AA64" s="4"/>
      <c r="AB64" s="4"/>
    </row>
    <row r="65" spans="1:28" ht="19.5" hidden="1" customHeight="1" thickBot="1" x14ac:dyDescent="0.4">
      <c r="A65" s="273"/>
      <c r="B65" s="15"/>
      <c r="C65" s="83"/>
      <c r="D65" s="83"/>
      <c r="E65" s="83"/>
      <c r="F65" s="898" t="s">
        <v>84</v>
      </c>
      <c r="G65" s="604"/>
      <c r="H65" s="25" t="s">
        <v>85</v>
      </c>
      <c r="I65" s="135"/>
      <c r="J65" s="39">
        <v>40040</v>
      </c>
      <c r="K65" s="44">
        <v>12</v>
      </c>
      <c r="Q65"/>
      <c r="R65"/>
      <c r="S65"/>
      <c r="T65"/>
      <c r="U65"/>
      <c r="X65"/>
      <c r="Y65"/>
      <c r="AA65" s="4"/>
      <c r="AB65" s="4"/>
    </row>
    <row r="66" spans="1:28" ht="19.5" hidden="1" customHeight="1" thickBot="1" x14ac:dyDescent="0.4">
      <c r="A66" s="273"/>
      <c r="B66" s="15"/>
      <c r="C66" s="83"/>
      <c r="D66" s="83"/>
      <c r="E66" s="83"/>
      <c r="F66" s="898"/>
      <c r="G66" s="604"/>
      <c r="H66" s="6" t="s">
        <v>86</v>
      </c>
      <c r="I66" s="136"/>
      <c r="J66" s="40">
        <v>47240</v>
      </c>
      <c r="K66" s="44">
        <v>11</v>
      </c>
      <c r="Q66"/>
      <c r="R66"/>
      <c r="S66"/>
      <c r="T66"/>
      <c r="U66"/>
      <c r="X66"/>
      <c r="Y66"/>
      <c r="AA66" s="4"/>
      <c r="AB66" s="4"/>
    </row>
    <row r="67" spans="1:28" ht="19.5" hidden="1" customHeight="1" thickBot="1" x14ac:dyDescent="0.4">
      <c r="A67" s="273"/>
      <c r="B67" s="15"/>
      <c r="C67" s="83"/>
      <c r="D67" s="83"/>
      <c r="E67" s="83"/>
      <c r="F67" s="899"/>
      <c r="G67" s="99"/>
      <c r="H67" s="6" t="s">
        <v>87</v>
      </c>
      <c r="I67" s="136"/>
      <c r="J67" s="40">
        <v>51499</v>
      </c>
      <c r="K67" s="44">
        <v>12</v>
      </c>
      <c r="Q67"/>
      <c r="R67"/>
      <c r="S67"/>
      <c r="T67"/>
      <c r="U67"/>
      <c r="X67"/>
      <c r="Y67"/>
      <c r="AA67" s="4"/>
      <c r="AB67" s="4"/>
    </row>
    <row r="68" spans="1:28" s="5" customFormat="1" ht="19.5" hidden="1" customHeight="1" thickBot="1" x14ac:dyDescent="0.4">
      <c r="A68" s="273"/>
      <c r="B68" s="16"/>
      <c r="C68" s="4"/>
      <c r="D68" s="4"/>
      <c r="E68" s="4"/>
      <c r="F68" s="3"/>
      <c r="G68" s="3"/>
      <c r="H68" s="6" t="s">
        <v>88</v>
      </c>
      <c r="I68" s="136"/>
      <c r="J68" s="41"/>
      <c r="K68" s="44"/>
      <c r="L68"/>
      <c r="M68"/>
      <c r="N68"/>
      <c r="O68"/>
      <c r="P68"/>
      <c r="Q68"/>
      <c r="R68"/>
      <c r="S68"/>
      <c r="T68"/>
      <c r="U68"/>
      <c r="V68"/>
      <c r="W68"/>
      <c r="X68"/>
      <c r="Y68"/>
      <c r="Z68"/>
      <c r="AA68" s="12"/>
      <c r="AB68" s="12"/>
    </row>
    <row r="69" spans="1:28" s="5" customFormat="1" ht="19.5" hidden="1" customHeight="1" thickBot="1" x14ac:dyDescent="0.4">
      <c r="A69" s="273"/>
      <c r="B69" s="16"/>
      <c r="C69" s="4"/>
      <c r="D69" s="4"/>
      <c r="E69" s="4"/>
      <c r="F69" s="3"/>
      <c r="G69" s="3"/>
      <c r="H69" s="58" t="s">
        <v>89</v>
      </c>
      <c r="I69" s="137"/>
      <c r="J69" s="42">
        <v>16900</v>
      </c>
      <c r="K69" s="45">
        <v>28</v>
      </c>
      <c r="L69"/>
      <c r="M69"/>
      <c r="N69"/>
      <c r="O69"/>
      <c r="P69"/>
      <c r="Q69"/>
      <c r="R69"/>
      <c r="S69"/>
      <c r="T69"/>
      <c r="U69"/>
      <c r="V69"/>
      <c r="W69"/>
      <c r="X69"/>
      <c r="Y69"/>
      <c r="Z69"/>
      <c r="AA69" s="12"/>
      <c r="AB69" s="12"/>
    </row>
    <row r="70" spans="1:28" s="5" customFormat="1" ht="19.5" hidden="1" customHeight="1" x14ac:dyDescent="0.35">
      <c r="A70" s="273"/>
      <c r="B70" s="16"/>
      <c r="C70" s="4"/>
      <c r="D70" s="4"/>
      <c r="E70" s="4"/>
      <c r="F70" s="3"/>
      <c r="G70" s="3"/>
      <c r="H70" s="58" t="s">
        <v>90</v>
      </c>
      <c r="I70" s="137"/>
      <c r="J70" s="42">
        <v>16500</v>
      </c>
      <c r="K70" s="45">
        <v>29</v>
      </c>
      <c r="L70"/>
      <c r="M70"/>
      <c r="N70"/>
      <c r="O70"/>
      <c r="P70"/>
      <c r="Q70"/>
      <c r="R70"/>
      <c r="S70"/>
      <c r="T70"/>
      <c r="U70"/>
      <c r="V70"/>
      <c r="W70"/>
      <c r="X70"/>
      <c r="Y70"/>
      <c r="Z70"/>
      <c r="AA70" s="12"/>
      <c r="AB70" s="12"/>
    </row>
    <row r="71" spans="1:28" ht="21" hidden="1" customHeight="1" x14ac:dyDescent="0.35">
      <c r="A71" s="273"/>
      <c r="B71" s="16"/>
      <c r="C71" s="4"/>
      <c r="D71" s="4"/>
      <c r="E71" s="4"/>
      <c r="F71" s="3"/>
      <c r="G71" s="3"/>
      <c r="H71" s="59" t="s">
        <v>91</v>
      </c>
      <c r="I71" s="138"/>
      <c r="J71" s="43">
        <v>25280</v>
      </c>
      <c r="K71" s="45">
        <v>120</v>
      </c>
      <c r="Q71"/>
      <c r="R71"/>
      <c r="S71"/>
      <c r="T71"/>
      <c r="U71"/>
      <c r="X71"/>
      <c r="Y71"/>
      <c r="AA71" s="4"/>
      <c r="AB71" s="4"/>
    </row>
    <row r="72" spans="1:28" ht="21" hidden="1" customHeight="1" x14ac:dyDescent="0.3">
      <c r="A72" s="273"/>
      <c r="H72" s="610"/>
      <c r="I72" s="610"/>
      <c r="Q72"/>
      <c r="R72"/>
      <c r="S72"/>
      <c r="T72"/>
      <c r="U72"/>
      <c r="X72"/>
      <c r="Y72"/>
      <c r="AA72" s="4"/>
      <c r="AB72" s="4"/>
    </row>
    <row r="73" spans="1:28" ht="21" hidden="1" customHeight="1" thickBot="1" x14ac:dyDescent="0.4">
      <c r="A73" s="273"/>
      <c r="B73" s="943" t="s">
        <v>69</v>
      </c>
      <c r="C73" s="944"/>
      <c r="D73" s="944"/>
      <c r="E73" s="944"/>
      <c r="F73" s="944"/>
      <c r="G73" s="944"/>
      <c r="H73" s="944"/>
      <c r="I73" s="944"/>
      <c r="J73" s="945"/>
      <c r="Q73"/>
      <c r="R73"/>
      <c r="S73"/>
      <c r="T73"/>
      <c r="U73"/>
      <c r="X73"/>
      <c r="Y73"/>
      <c r="AA73" s="4"/>
      <c r="AB73" s="4"/>
    </row>
    <row r="74" spans="1:28" ht="21" hidden="1" customHeight="1" thickBot="1" x14ac:dyDescent="0.35">
      <c r="A74" s="273"/>
      <c r="B74" s="924" t="s">
        <v>92</v>
      </c>
      <c r="C74" s="924"/>
      <c r="D74" s="924"/>
      <c r="E74" s="924"/>
      <c r="F74" s="924"/>
      <c r="G74" s="924"/>
      <c r="H74" s="924"/>
      <c r="I74" s="924"/>
      <c r="J74" s="924"/>
      <c r="K74" s="924"/>
      <c r="Q74"/>
      <c r="R74"/>
      <c r="S74"/>
      <c r="T74"/>
      <c r="U74"/>
      <c r="X74"/>
      <c r="Y74"/>
      <c r="AA74" s="4"/>
      <c r="AB74" s="4"/>
    </row>
    <row r="75" spans="1:28" ht="21" customHeight="1" x14ac:dyDescent="0.45">
      <c r="B75" s="946" t="s">
        <v>93</v>
      </c>
      <c r="C75" s="946"/>
      <c r="D75" s="946"/>
      <c r="E75" s="946"/>
      <c r="F75" s="946"/>
      <c r="G75" s="946"/>
      <c r="H75" s="946"/>
      <c r="I75" s="946"/>
      <c r="J75" s="946"/>
      <c r="K75" s="946"/>
      <c r="Q75" s="139" t="s">
        <v>94</v>
      </c>
      <c r="R75" s="327"/>
      <c r="S75" s="328"/>
      <c r="T75"/>
      <c r="U75"/>
      <c r="X75"/>
      <c r="Y75"/>
    </row>
    <row r="76" spans="1:28" ht="18" x14ac:dyDescent="0.35">
      <c r="B76" s="947" t="s">
        <v>95</v>
      </c>
      <c r="C76" s="948"/>
      <c r="D76" s="948"/>
      <c r="E76" s="948"/>
      <c r="F76" s="948"/>
      <c r="G76" s="948"/>
      <c r="H76" s="948"/>
      <c r="I76" s="948"/>
      <c r="J76" s="948"/>
      <c r="K76" s="949"/>
      <c r="Q76" s="329" t="s">
        <v>96</v>
      </c>
      <c r="R76" s="330"/>
      <c r="S76" s="466">
        <v>23</v>
      </c>
      <c r="T76"/>
      <c r="U76"/>
      <c r="X76" s="610"/>
      <c r="Y76" s="610"/>
    </row>
    <row r="77" spans="1:28" ht="18" x14ac:dyDescent="0.35">
      <c r="B77" s="950" t="s">
        <v>97</v>
      </c>
      <c r="C77" s="951"/>
      <c r="D77" s="951"/>
      <c r="E77" s="951"/>
      <c r="F77" s="951"/>
      <c r="G77" s="951"/>
      <c r="H77" s="951"/>
      <c r="I77" s="951"/>
      <c r="J77" s="951"/>
      <c r="K77" s="952"/>
      <c r="Q77" s="329" t="s">
        <v>98</v>
      </c>
      <c r="R77" s="330"/>
      <c r="S77" s="331">
        <v>14.6</v>
      </c>
      <c r="T77"/>
      <c r="U77"/>
      <c r="V77" s="4"/>
      <c r="W77" s="4"/>
      <c r="X77" s="24"/>
      <c r="Y77" s="24"/>
      <c r="Z77" s="4"/>
      <c r="AA77" s="4"/>
      <c r="AB77" s="4"/>
    </row>
    <row r="78" spans="1:28" ht="18.600000000000001" x14ac:dyDescent="0.35">
      <c r="B78" s="975" t="s">
        <v>99</v>
      </c>
      <c r="C78" s="976"/>
      <c r="D78" s="976"/>
      <c r="E78" s="976"/>
      <c r="F78" s="976"/>
      <c r="G78" s="976"/>
      <c r="H78" s="976"/>
      <c r="I78" s="976"/>
      <c r="J78" s="976"/>
      <c r="K78" s="977"/>
      <c r="Q78" s="329" t="s">
        <v>100</v>
      </c>
      <c r="R78" s="330"/>
      <c r="S78" s="466">
        <v>0</v>
      </c>
      <c r="T78"/>
      <c r="U78"/>
      <c r="X78" s="610"/>
      <c r="Y78" s="610"/>
    </row>
    <row r="79" spans="1:28" ht="18.600000000000001" x14ac:dyDescent="0.35">
      <c r="B79" s="924" t="s">
        <v>101</v>
      </c>
      <c r="C79" s="924"/>
      <c r="D79" s="924"/>
      <c r="E79" s="924"/>
      <c r="F79" s="924"/>
      <c r="G79" s="924"/>
      <c r="H79" s="924"/>
      <c r="I79" s="924"/>
      <c r="J79" s="924"/>
      <c r="K79" s="924"/>
      <c r="Q79" s="329" t="s">
        <v>102</v>
      </c>
      <c r="R79" s="330"/>
      <c r="S79" s="466">
        <v>28</v>
      </c>
      <c r="T79"/>
      <c r="U79"/>
      <c r="X79" s="610"/>
      <c r="Y79" s="610"/>
    </row>
    <row r="80" spans="1:28" ht="18" x14ac:dyDescent="0.35">
      <c r="B80" s="924" t="s">
        <v>103</v>
      </c>
      <c r="C80" s="924"/>
      <c r="D80" s="924"/>
      <c r="E80" s="924"/>
      <c r="F80" s="924"/>
      <c r="G80" s="924"/>
      <c r="H80" s="924"/>
      <c r="I80" s="924"/>
      <c r="J80" s="924"/>
      <c r="K80" s="924"/>
      <c r="N80" s="17"/>
      <c r="O80" s="17"/>
      <c r="P80" s="17"/>
      <c r="Q80" s="332" t="s">
        <v>104</v>
      </c>
      <c r="R80" s="330"/>
      <c r="S80" s="466">
        <v>19</v>
      </c>
      <c r="T80"/>
      <c r="U80"/>
      <c r="X80" s="610"/>
      <c r="Y80" s="610"/>
    </row>
    <row r="81" spans="2:25" ht="18" x14ac:dyDescent="0.35">
      <c r="B81" s="924" t="s">
        <v>105</v>
      </c>
      <c r="C81" s="924"/>
      <c r="D81" s="924"/>
      <c r="E81" s="924"/>
      <c r="F81" s="924"/>
      <c r="G81" s="924"/>
      <c r="H81" s="924"/>
      <c r="I81" s="924"/>
      <c r="J81" s="924"/>
      <c r="K81" s="924"/>
      <c r="L81" s="17"/>
      <c r="M81" s="17"/>
      <c r="Q81" s="333" t="s">
        <v>106</v>
      </c>
      <c r="R81" s="334"/>
      <c r="S81" s="335">
        <v>23</v>
      </c>
      <c r="T81"/>
      <c r="U81"/>
      <c r="X81" s="610"/>
      <c r="Y81" s="610"/>
    </row>
    <row r="82" spans="2:25" ht="15" x14ac:dyDescent="0.3">
      <c r="B82" s="924" t="s">
        <v>107</v>
      </c>
      <c r="C82" s="924"/>
      <c r="D82" s="924"/>
      <c r="E82" s="924"/>
      <c r="F82" s="924"/>
      <c r="G82" s="924"/>
      <c r="H82" s="924"/>
      <c r="I82" s="924"/>
      <c r="J82" s="924"/>
      <c r="K82" s="924"/>
      <c r="Q82"/>
      <c r="R82"/>
      <c r="S82"/>
      <c r="T82"/>
      <c r="U82"/>
      <c r="X82" s="610"/>
      <c r="Y82" s="610"/>
    </row>
    <row r="83" spans="2:25" ht="15" x14ac:dyDescent="0.3">
      <c r="B83" s="924" t="s">
        <v>108</v>
      </c>
      <c r="C83" s="924"/>
      <c r="D83" s="924"/>
      <c r="E83" s="924"/>
      <c r="F83" s="924"/>
      <c r="G83" s="924"/>
      <c r="H83" s="924"/>
      <c r="I83" s="924"/>
      <c r="J83" s="924"/>
      <c r="K83" s="924"/>
      <c r="Q83"/>
      <c r="R83"/>
      <c r="S83"/>
      <c r="T83"/>
      <c r="U83"/>
      <c r="X83" s="610"/>
      <c r="Y83" s="610"/>
    </row>
    <row r="84" spans="2:25" s="17" customFormat="1" ht="18" x14ac:dyDescent="0.35">
      <c r="B84" s="924" t="s">
        <v>109</v>
      </c>
      <c r="C84" s="924"/>
      <c r="D84" s="924"/>
      <c r="E84" s="924"/>
      <c r="F84" s="924"/>
      <c r="G84" s="924"/>
      <c r="H84" s="924"/>
      <c r="I84" s="924"/>
      <c r="J84" s="924"/>
      <c r="K84" s="924"/>
      <c r="L84" s="2"/>
      <c r="M84" s="2"/>
      <c r="N84"/>
      <c r="O84" s="7"/>
      <c r="P84" s="7"/>
      <c r="Q84" s="7"/>
      <c r="R84" s="7"/>
      <c r="S84" s="7"/>
      <c r="T84"/>
      <c r="U84"/>
      <c r="V84" s="18"/>
      <c r="W84" s="19"/>
      <c r="X84" s="22"/>
      <c r="Y84" s="22"/>
    </row>
    <row r="85" spans="2:25" ht="18" x14ac:dyDescent="0.35">
      <c r="B85" s="924" t="s">
        <v>110</v>
      </c>
      <c r="C85" s="924"/>
      <c r="D85" s="924"/>
      <c r="E85" s="924"/>
      <c r="F85" s="924"/>
      <c r="G85" s="924"/>
      <c r="H85" s="924"/>
      <c r="I85" s="924"/>
      <c r="J85" s="924"/>
      <c r="K85" s="924"/>
      <c r="L85" s="2"/>
      <c r="M85" s="2"/>
      <c r="Q85"/>
      <c r="R85"/>
      <c r="S85"/>
      <c r="T85"/>
      <c r="U85"/>
      <c r="X85" s="610"/>
      <c r="Y85" s="610"/>
    </row>
    <row r="86" spans="2:25" x14ac:dyDescent="0.3">
      <c r="H86"/>
      <c r="I86"/>
      <c r="Q86"/>
      <c r="R86"/>
      <c r="S86"/>
      <c r="T86"/>
      <c r="U86"/>
      <c r="X86" s="610"/>
      <c r="Y86" s="610"/>
    </row>
    <row r="87" spans="2:25" ht="18" x14ac:dyDescent="0.35">
      <c r="B87" s="65" t="s">
        <v>111</v>
      </c>
      <c r="C87" s="65"/>
      <c r="D87" s="65"/>
      <c r="E87" s="65"/>
      <c r="F87" s="64"/>
      <c r="G87" s="64"/>
      <c r="H87" s="610"/>
      <c r="I87" s="610"/>
      <c r="Q87"/>
      <c r="R87"/>
      <c r="S87"/>
      <c r="T87"/>
      <c r="U87"/>
      <c r="X87" s="610"/>
      <c r="Y87" s="610"/>
    </row>
    <row r="88" spans="2:25" hidden="1" x14ac:dyDescent="0.3">
      <c r="B88" t="s">
        <v>112</v>
      </c>
      <c r="H88" s="610"/>
      <c r="I88" s="610"/>
      <c r="Q88"/>
      <c r="R88"/>
      <c r="S88"/>
      <c r="T88"/>
      <c r="U88"/>
      <c r="X88" s="610"/>
      <c r="Y88" s="610"/>
    </row>
    <row r="89" spans="2:25" hidden="1" x14ac:dyDescent="0.3">
      <c r="B89" t="s">
        <v>40</v>
      </c>
      <c r="H89" s="610"/>
      <c r="I89" s="610"/>
      <c r="Q89"/>
      <c r="R89"/>
      <c r="S89"/>
      <c r="T89"/>
      <c r="U89"/>
      <c r="X89" s="610"/>
      <c r="Y89" s="610"/>
    </row>
    <row r="90" spans="2:25" ht="22.2" hidden="1" customHeight="1" x14ac:dyDescent="0.3">
      <c r="B90" t="s">
        <v>53</v>
      </c>
      <c r="H90" s="610"/>
      <c r="I90" s="610"/>
      <c r="Q90"/>
      <c r="R90"/>
      <c r="S90"/>
      <c r="T90"/>
      <c r="U90"/>
      <c r="X90" s="610"/>
      <c r="Y90" s="610"/>
    </row>
    <row r="91" spans="2:25" hidden="1" x14ac:dyDescent="0.3">
      <c r="B91" t="s">
        <v>42</v>
      </c>
      <c r="H91" s="610"/>
      <c r="I91" s="610"/>
      <c r="Q91"/>
      <c r="R91"/>
      <c r="S91"/>
      <c r="T91"/>
      <c r="U91"/>
      <c r="X91" s="610"/>
      <c r="Y91" s="610"/>
    </row>
    <row r="92" spans="2:25" hidden="1" x14ac:dyDescent="0.3">
      <c r="B92" t="s">
        <v>60</v>
      </c>
      <c r="H92" s="610"/>
      <c r="I92" s="610"/>
      <c r="Q92"/>
      <c r="R92"/>
      <c r="S92"/>
      <c r="T92"/>
      <c r="U92"/>
      <c r="X92" s="610"/>
      <c r="Y92" s="610"/>
    </row>
    <row r="93" spans="2:25" hidden="1" x14ac:dyDescent="0.3">
      <c r="B93" t="s">
        <v>66</v>
      </c>
      <c r="H93" s="610"/>
      <c r="I93" s="610"/>
      <c r="Q93"/>
      <c r="R93"/>
      <c r="S93"/>
      <c r="T93"/>
      <c r="U93"/>
      <c r="X93" s="610"/>
      <c r="Y93" s="610"/>
    </row>
    <row r="94" spans="2:25" hidden="1" x14ac:dyDescent="0.3">
      <c r="B94" t="s">
        <v>53</v>
      </c>
      <c r="H94" s="610"/>
      <c r="I94" s="610"/>
      <c r="Q94"/>
      <c r="R94"/>
      <c r="S94"/>
      <c r="T94"/>
      <c r="U94"/>
      <c r="X94" s="610"/>
      <c r="Y94" s="610"/>
    </row>
    <row r="95" spans="2:25" hidden="1" x14ac:dyDescent="0.3">
      <c r="H95" s="610"/>
      <c r="I95" s="610"/>
      <c r="Q95"/>
      <c r="R95"/>
      <c r="S95"/>
      <c r="T95"/>
      <c r="U95"/>
    </row>
    <row r="96" spans="2:25" x14ac:dyDescent="0.3">
      <c r="H96" s="610"/>
      <c r="I96" s="610"/>
      <c r="Q96"/>
      <c r="R96"/>
      <c r="S96"/>
      <c r="T96"/>
      <c r="U96"/>
    </row>
    <row r="97" spans="2:21" x14ac:dyDescent="0.3">
      <c r="H97" s="610"/>
      <c r="I97" s="610"/>
      <c r="Q97"/>
      <c r="R97"/>
      <c r="S97"/>
      <c r="T97"/>
      <c r="U97"/>
    </row>
    <row r="98" spans="2:21" x14ac:dyDescent="0.3">
      <c r="H98" s="610"/>
      <c r="I98" s="610"/>
      <c r="Q98"/>
      <c r="R98"/>
      <c r="S98"/>
      <c r="T98"/>
      <c r="U98"/>
    </row>
    <row r="99" spans="2:21" x14ac:dyDescent="0.3">
      <c r="H99" s="610"/>
      <c r="I99" s="610"/>
      <c r="Q99"/>
      <c r="R99"/>
      <c r="S99"/>
      <c r="T99"/>
      <c r="U99"/>
    </row>
    <row r="100" spans="2:21" x14ac:dyDescent="0.3">
      <c r="H100" s="610"/>
      <c r="I100" s="610"/>
      <c r="Q100"/>
      <c r="R100"/>
      <c r="S100"/>
      <c r="T100"/>
      <c r="U100"/>
    </row>
    <row r="101" spans="2:21" x14ac:dyDescent="0.3">
      <c r="H101" s="610"/>
      <c r="I101" s="610"/>
      <c r="Q101"/>
      <c r="R101"/>
      <c r="S101"/>
      <c r="T101"/>
      <c r="U101"/>
    </row>
    <row r="102" spans="2:21" ht="15" x14ac:dyDescent="0.3">
      <c r="B102" s="339"/>
      <c r="C102" s="339"/>
      <c r="D102" s="339"/>
      <c r="E102" s="339"/>
      <c r="F102" s="339"/>
      <c r="G102" s="339"/>
      <c r="H102" s="339"/>
      <c r="I102" s="339"/>
      <c r="J102" s="4"/>
      <c r="K102" s="4"/>
      <c r="Q102"/>
      <c r="R102"/>
      <c r="S102"/>
      <c r="T102"/>
      <c r="U102"/>
    </row>
    <row r="103" spans="2:21" ht="15" x14ac:dyDescent="0.3">
      <c r="B103" s="339"/>
      <c r="C103" s="339"/>
      <c r="D103" s="339"/>
      <c r="E103" s="339"/>
      <c r="F103" s="339"/>
      <c r="G103" s="339"/>
      <c r="H103" s="339"/>
      <c r="I103" s="339"/>
      <c r="J103" s="4"/>
      <c r="K103" s="4"/>
      <c r="Q103"/>
      <c r="R103"/>
      <c r="S103"/>
      <c r="T103"/>
      <c r="U103"/>
    </row>
    <row r="104" spans="2:21" ht="15" x14ac:dyDescent="0.3">
      <c r="B104" s="340"/>
      <c r="C104" s="341"/>
      <c r="D104" s="341"/>
      <c r="E104" s="341"/>
      <c r="F104" s="341"/>
      <c r="G104" s="341"/>
      <c r="H104" s="341"/>
      <c r="I104" s="341"/>
      <c r="J104" s="4"/>
      <c r="K104" s="4"/>
      <c r="Q104"/>
      <c r="R104"/>
      <c r="S104"/>
      <c r="T104"/>
      <c r="U104"/>
    </row>
    <row r="105" spans="2:21" ht="15" x14ac:dyDescent="0.3">
      <c r="B105" s="340"/>
      <c r="C105" s="341"/>
      <c r="D105" s="341"/>
      <c r="E105" s="341"/>
      <c r="F105" s="341"/>
      <c r="G105" s="341"/>
      <c r="H105" s="341"/>
      <c r="I105" s="341"/>
      <c r="J105" s="4"/>
      <c r="K105" s="4"/>
      <c r="Q105"/>
      <c r="R105"/>
      <c r="S105"/>
      <c r="T105"/>
      <c r="U105"/>
    </row>
    <row r="106" spans="2:21" ht="15" x14ac:dyDescent="0.3">
      <c r="B106" s="342"/>
      <c r="C106" s="341"/>
      <c r="D106" s="341"/>
      <c r="E106" s="341"/>
      <c r="F106" s="341"/>
      <c r="G106" s="341"/>
      <c r="H106" s="341"/>
      <c r="I106" s="341"/>
      <c r="J106" s="4"/>
      <c r="K106" s="4"/>
      <c r="Q106"/>
      <c r="R106"/>
      <c r="S106"/>
      <c r="T106"/>
      <c r="U106"/>
    </row>
    <row r="107" spans="2:21" ht="15" x14ac:dyDescent="0.3">
      <c r="B107" s="340"/>
      <c r="C107" s="341"/>
      <c r="D107" s="341"/>
      <c r="E107" s="341"/>
      <c r="F107" s="341"/>
      <c r="G107" s="341"/>
      <c r="H107" s="341"/>
      <c r="I107" s="341"/>
      <c r="J107" s="4"/>
      <c r="K107" s="4"/>
      <c r="Q107"/>
      <c r="R107"/>
      <c r="S107"/>
      <c r="T107"/>
      <c r="U107"/>
    </row>
    <row r="108" spans="2:21" ht="15" x14ac:dyDescent="0.3">
      <c r="B108" s="340"/>
      <c r="C108" s="341"/>
      <c r="D108" s="341"/>
      <c r="E108" s="341"/>
      <c r="F108" s="341"/>
      <c r="G108" s="341"/>
      <c r="H108" s="341"/>
      <c r="I108" s="341"/>
      <c r="J108" s="4"/>
      <c r="K108" s="4"/>
      <c r="Q108"/>
      <c r="R108"/>
      <c r="S108"/>
      <c r="T108"/>
      <c r="U108"/>
    </row>
    <row r="109" spans="2:21" ht="15" x14ac:dyDescent="0.3">
      <c r="B109" s="340"/>
      <c r="C109" s="341"/>
      <c r="D109" s="341"/>
      <c r="E109" s="341"/>
      <c r="F109" s="341"/>
      <c r="G109" s="341"/>
      <c r="H109" s="341"/>
      <c r="I109" s="341"/>
      <c r="J109" s="4"/>
      <c r="K109" s="4"/>
      <c r="Q109"/>
      <c r="R109"/>
      <c r="S109"/>
      <c r="T109"/>
      <c r="U109"/>
    </row>
    <row r="110" spans="2:21" ht="15" x14ac:dyDescent="0.3">
      <c r="B110" s="340"/>
      <c r="C110" s="341"/>
      <c r="D110" s="341"/>
      <c r="E110" s="341"/>
      <c r="F110" s="341"/>
      <c r="G110" s="341"/>
      <c r="H110" s="341"/>
      <c r="I110" s="341"/>
      <c r="J110" s="4"/>
      <c r="K110" s="4"/>
      <c r="Q110"/>
      <c r="R110"/>
      <c r="S110"/>
      <c r="T110"/>
      <c r="U110"/>
    </row>
    <row r="111" spans="2:21" ht="15" x14ac:dyDescent="0.3">
      <c r="B111" s="340"/>
      <c r="C111" s="341"/>
      <c r="D111" s="341"/>
      <c r="E111" s="341"/>
      <c r="F111" s="341"/>
      <c r="G111" s="341"/>
      <c r="H111" s="341"/>
      <c r="I111" s="341"/>
      <c r="J111" s="4"/>
      <c r="K111" s="4"/>
      <c r="Q111"/>
      <c r="R111"/>
      <c r="S111"/>
      <c r="T111"/>
      <c r="U111"/>
    </row>
    <row r="112" spans="2:21" ht="15" x14ac:dyDescent="0.3">
      <c r="B112" s="340"/>
      <c r="C112" s="341"/>
      <c r="D112" s="341"/>
      <c r="E112" s="341"/>
      <c r="F112" s="341"/>
      <c r="G112" s="341"/>
      <c r="H112" s="341"/>
      <c r="I112" s="341"/>
      <c r="J112" s="4"/>
      <c r="K112" s="4"/>
      <c r="Q112"/>
      <c r="R112"/>
      <c r="S112"/>
      <c r="T112"/>
      <c r="U112"/>
    </row>
    <row r="113" spans="2:21" ht="15" x14ac:dyDescent="0.3">
      <c r="B113" s="340"/>
      <c r="C113" s="341"/>
      <c r="D113" s="341"/>
      <c r="E113" s="341"/>
      <c r="F113" s="341"/>
      <c r="G113" s="341"/>
      <c r="H113" s="341"/>
      <c r="I113" s="341"/>
      <c r="J113" s="4"/>
      <c r="K113" s="4"/>
      <c r="Q113"/>
      <c r="R113"/>
      <c r="S113"/>
      <c r="T113"/>
      <c r="U113"/>
    </row>
    <row r="114" spans="2:21" ht="15" x14ac:dyDescent="0.3">
      <c r="B114" s="339"/>
      <c r="C114" s="4"/>
      <c r="D114" s="4"/>
      <c r="E114" s="4"/>
      <c r="F114" s="4"/>
      <c r="G114" s="4"/>
      <c r="H114" s="4"/>
      <c r="I114" s="4"/>
      <c r="J114" s="4"/>
      <c r="K114" s="4"/>
      <c r="Q114"/>
      <c r="R114"/>
      <c r="S114"/>
      <c r="T114"/>
      <c r="U114"/>
    </row>
    <row r="115" spans="2:21" x14ac:dyDescent="0.3">
      <c r="H115" s="610"/>
      <c r="I115" s="610"/>
      <c r="Q115"/>
      <c r="R115"/>
      <c r="S115"/>
      <c r="T115"/>
      <c r="U115"/>
    </row>
    <row r="116" spans="2:21" x14ac:dyDescent="0.3">
      <c r="H116" s="610"/>
      <c r="I116" s="610"/>
      <c r="Q116"/>
      <c r="R116"/>
      <c r="S116"/>
      <c r="T116"/>
      <c r="U116"/>
    </row>
    <row r="117" spans="2:21" x14ac:dyDescent="0.3">
      <c r="H117" s="610"/>
      <c r="I117" s="610"/>
      <c r="Q117"/>
      <c r="R117"/>
      <c r="S117"/>
      <c r="T117"/>
      <c r="U117"/>
    </row>
    <row r="118" spans="2:21" x14ac:dyDescent="0.3">
      <c r="H118" s="610"/>
      <c r="I118" s="610"/>
      <c r="Q118"/>
      <c r="R118"/>
      <c r="S118"/>
      <c r="T118"/>
      <c r="U118"/>
    </row>
    <row r="119" spans="2:21" x14ac:dyDescent="0.3">
      <c r="H119" s="610"/>
      <c r="I119" s="610"/>
      <c r="Q119"/>
      <c r="R119"/>
      <c r="S119"/>
      <c r="T119"/>
      <c r="U119"/>
    </row>
    <row r="120" spans="2:21" x14ac:dyDescent="0.3">
      <c r="H120" s="610"/>
      <c r="I120" s="610"/>
      <c r="Q120"/>
      <c r="R120"/>
      <c r="S120"/>
      <c r="T120"/>
      <c r="U120"/>
    </row>
    <row r="121" spans="2:21" x14ac:dyDescent="0.3">
      <c r="H121" s="610"/>
      <c r="I121" s="610"/>
      <c r="Q121"/>
      <c r="R121"/>
      <c r="S121"/>
      <c r="T121"/>
      <c r="U121"/>
    </row>
    <row r="122" spans="2:21" x14ac:dyDescent="0.3">
      <c r="H122" s="610"/>
      <c r="I122" s="610"/>
      <c r="Q122"/>
      <c r="R122"/>
      <c r="S122"/>
      <c r="T122"/>
      <c r="U122"/>
    </row>
    <row r="123" spans="2:21" x14ac:dyDescent="0.3">
      <c r="H123" s="610"/>
      <c r="I123" s="610"/>
      <c r="Q123"/>
      <c r="R123"/>
      <c r="S123"/>
      <c r="T123"/>
      <c r="U123"/>
    </row>
    <row r="124" spans="2:21" x14ac:dyDescent="0.3">
      <c r="H124" s="610"/>
      <c r="I124" s="610"/>
      <c r="Q124"/>
      <c r="R124"/>
      <c r="S124"/>
      <c r="T124"/>
      <c r="U124"/>
    </row>
    <row r="125" spans="2:21" x14ac:dyDescent="0.3">
      <c r="H125" s="610"/>
      <c r="I125" s="610"/>
      <c r="Q125"/>
      <c r="R125"/>
      <c r="S125"/>
      <c r="T125"/>
      <c r="U125"/>
    </row>
    <row r="126" spans="2:21" x14ac:dyDescent="0.3">
      <c r="Q126"/>
      <c r="R126"/>
      <c r="S126"/>
      <c r="T126"/>
      <c r="U126"/>
    </row>
    <row r="127" spans="2:21" x14ac:dyDescent="0.3">
      <c r="Q127"/>
      <c r="R127"/>
      <c r="S127"/>
      <c r="T127"/>
      <c r="U127"/>
    </row>
    <row r="128" spans="2:21" x14ac:dyDescent="0.3">
      <c r="Q128"/>
      <c r="R128"/>
      <c r="S128"/>
      <c r="T128"/>
      <c r="U128"/>
    </row>
    <row r="129" spans="17:21" x14ac:dyDescent="0.3">
      <c r="Q129"/>
      <c r="R129"/>
      <c r="S129"/>
      <c r="T129"/>
      <c r="U129"/>
    </row>
    <row r="130" spans="17:21" x14ac:dyDescent="0.3">
      <c r="Q130"/>
      <c r="R130"/>
      <c r="S130"/>
      <c r="T130"/>
      <c r="U130"/>
    </row>
    <row r="131" spans="17:21" x14ac:dyDescent="0.3">
      <c r="Q131"/>
      <c r="R131"/>
      <c r="S131"/>
      <c r="T131"/>
      <c r="U131"/>
    </row>
    <row r="132" spans="17:21" x14ac:dyDescent="0.3">
      <c r="T132"/>
      <c r="U132"/>
    </row>
    <row r="133" spans="17:21" x14ac:dyDescent="0.3">
      <c r="T133"/>
      <c r="U133"/>
    </row>
  </sheetData>
  <sheetProtection selectLockedCells="1"/>
  <mergeCells count="51">
    <mergeCell ref="Y1:AC1"/>
    <mergeCell ref="B85:K85"/>
    <mergeCell ref="B47:K47"/>
    <mergeCell ref="G2:I6"/>
    <mergeCell ref="N11:P12"/>
    <mergeCell ref="Q11:Q12"/>
    <mergeCell ref="B9:D10"/>
    <mergeCell ref="B78:K78"/>
    <mergeCell ref="B80:K80"/>
    <mergeCell ref="B81:K81"/>
    <mergeCell ref="B82:K82"/>
    <mergeCell ref="B83:K83"/>
    <mergeCell ref="B84:K84"/>
    <mergeCell ref="G13:G14"/>
    <mergeCell ref="N13:N14"/>
    <mergeCell ref="O13:O14"/>
    <mergeCell ref="B73:J73"/>
    <mergeCell ref="B75:K75"/>
    <mergeCell ref="B76:K76"/>
    <mergeCell ref="B77:K77"/>
    <mergeCell ref="L13:L14"/>
    <mergeCell ref="B79:K79"/>
    <mergeCell ref="B74:K74"/>
    <mergeCell ref="O1:S1"/>
    <mergeCell ref="F9:F10"/>
    <mergeCell ref="A25:A33"/>
    <mergeCell ref="A35:A42"/>
    <mergeCell ref="B1:J1"/>
    <mergeCell ref="I13:I14"/>
    <mergeCell ref="A13:A14"/>
    <mergeCell ref="A15:A16"/>
    <mergeCell ref="C13:C14"/>
    <mergeCell ref="A18:A23"/>
    <mergeCell ref="J13:J14"/>
    <mergeCell ref="K13:K14"/>
    <mergeCell ref="D13:D14"/>
    <mergeCell ref="E13:E14"/>
    <mergeCell ref="S10:U10"/>
    <mergeCell ref="B13:B14"/>
    <mergeCell ref="F65:F67"/>
    <mergeCell ref="B60:B64"/>
    <mergeCell ref="F60:F64"/>
    <mergeCell ref="B52:B59"/>
    <mergeCell ref="F52:F59"/>
    <mergeCell ref="S11:X11"/>
    <mergeCell ref="F13:F14"/>
    <mergeCell ref="H13:H14"/>
    <mergeCell ref="S12:U12"/>
    <mergeCell ref="Q13:Q14"/>
    <mergeCell ref="P13:P14"/>
    <mergeCell ref="M13:M14"/>
  </mergeCells>
  <phoneticPr fontId="0" type="noConversion"/>
  <dataValidations count="2">
    <dataValidation type="list" allowBlank="1" showInputMessage="1" showErrorMessage="1" sqref="C24">
      <formula1>Fuel</formula1>
    </dataValidation>
    <dataValidation type="list" allowBlank="1" showInputMessage="1" showErrorMessage="1" sqref="C15:C16 C25:C33 C35:C44 C18:C23">
      <formula1>$B$89:$B$93</formula1>
    </dataValidation>
  </dataValidations>
  <printOptions horizontalCentered="1"/>
  <pageMargins left="0.7" right="0.7" top="0.67" bottom="0.31" header="0.31" footer="0.3"/>
  <pageSetup paperSize="5" scale="45" orientation="landscape"/>
  <headerFooter>
    <oddHeader>&amp;L&amp;14&amp;F&amp;R&amp;14&amp;D</oddHeader>
    <oddFooter>&amp;LCampus Planning&amp;R&amp;A</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0"/>
  <sheetViews>
    <sheetView zoomScale="70" zoomScaleNormal="70" zoomScaleSheetLayoutView="100" zoomScalePageLayoutView="70" workbookViewId="0">
      <selection activeCell="A28" sqref="A28:A47"/>
    </sheetView>
  </sheetViews>
  <sheetFormatPr defaultColWidth="8.6640625" defaultRowHeight="14.4" x14ac:dyDescent="0.3"/>
  <cols>
    <col min="2" max="2" width="8.6640625" customWidth="1"/>
    <col min="3" max="3" width="54.33203125" customWidth="1"/>
    <col min="4" max="5" width="16.33203125" customWidth="1"/>
    <col min="6" max="6" width="14.44140625" customWidth="1"/>
    <col min="7" max="7" width="18.109375" customWidth="1"/>
    <col min="8" max="8" width="0.33203125" customWidth="1"/>
    <col min="9" max="9" width="19.44140625" style="21" customWidth="1"/>
    <col min="10" max="11" width="15.6640625" customWidth="1"/>
    <col min="12" max="12" width="14" customWidth="1"/>
    <col min="13" max="13" width="17.33203125" customWidth="1"/>
    <col min="14" max="14" width="18.109375" customWidth="1"/>
    <col min="15" max="15" width="15" style="1" customWidth="1"/>
    <col min="16" max="16" width="19.33203125" style="1" customWidth="1"/>
    <col min="17" max="17" width="18.44140625" style="20" customWidth="1"/>
    <col min="18" max="18" width="4.109375" style="20" customWidth="1"/>
    <col min="19" max="19" width="19.44140625" style="20" customWidth="1"/>
    <col min="20" max="20" width="15" hidden="1" customWidth="1"/>
    <col min="21" max="21" width="15.33203125" hidden="1" customWidth="1"/>
    <col min="22" max="22" width="20" style="21" hidden="1" customWidth="1"/>
    <col min="23" max="23" width="12.44140625" style="21" customWidth="1"/>
  </cols>
  <sheetData>
    <row r="1" spans="1:27" ht="33" customHeight="1" thickBot="1" x14ac:dyDescent="0.45">
      <c r="C1" s="932" t="s">
        <v>0</v>
      </c>
      <c r="D1" s="933"/>
      <c r="E1" s="933"/>
      <c r="F1" s="933"/>
      <c r="G1" s="933"/>
      <c r="H1" s="933"/>
      <c r="I1" s="933"/>
      <c r="J1" s="933"/>
      <c r="K1" s="927"/>
      <c r="L1" s="13"/>
      <c r="M1" s="925" t="s">
        <v>239</v>
      </c>
      <c r="N1" s="926"/>
      <c r="O1" s="926"/>
      <c r="P1" s="926"/>
      <c r="Q1" s="979"/>
      <c r="R1" s="13"/>
      <c r="S1" s="13"/>
      <c r="V1" s="610"/>
      <c r="W1" s="953" t="s">
        <v>249</v>
      </c>
      <c r="X1" s="954"/>
      <c r="Y1" s="954"/>
      <c r="Z1" s="954"/>
      <c r="AA1" s="955"/>
    </row>
    <row r="2" spans="1:27" s="10" customFormat="1" ht="19.95" customHeight="1" x14ac:dyDescent="0.4">
      <c r="C2" s="734" t="s">
        <v>1</v>
      </c>
      <c r="D2" s="735"/>
      <c r="E2" s="735"/>
      <c r="F2" s="735"/>
      <c r="G2" s="735"/>
      <c r="H2" s="758"/>
      <c r="I2" s="993" t="s">
        <v>2</v>
      </c>
      <c r="J2" s="993"/>
      <c r="K2" s="736">
        <f>'Passenger Cars'!J2</f>
        <v>1.5091493431777381</v>
      </c>
      <c r="L2" s="13"/>
      <c r="M2" s="734" t="s">
        <v>1</v>
      </c>
      <c r="N2" s="735"/>
      <c r="O2" s="743"/>
      <c r="P2" s="743"/>
      <c r="Q2" s="744">
        <f>'Passenger Cars'!S2</f>
        <v>1.5091493431777381</v>
      </c>
      <c r="R2" s="13"/>
      <c r="S2" s="13"/>
      <c r="T2" s="11" t="s">
        <v>113</v>
      </c>
      <c r="U2" s="11"/>
      <c r="V2" s="23"/>
      <c r="W2" s="647" t="s">
        <v>1</v>
      </c>
      <c r="X2" s="648"/>
      <c r="Y2" s="649"/>
      <c r="Z2" s="649"/>
      <c r="AA2" s="642">
        <f>'Enter Your Data'!I3</f>
        <v>1.65</v>
      </c>
    </row>
    <row r="3" spans="1:27" s="10" customFormat="1" ht="21" x14ac:dyDescent="0.4">
      <c r="C3" s="737" t="s">
        <v>3</v>
      </c>
      <c r="D3" s="738"/>
      <c r="E3" s="738"/>
      <c r="F3" s="738"/>
      <c r="G3" s="738"/>
      <c r="H3" s="759"/>
      <c r="I3" s="994"/>
      <c r="J3" s="994"/>
      <c r="K3" s="739">
        <f>'Passenger Cars'!J3</f>
        <v>2.4965363879402309</v>
      </c>
      <c r="L3" s="13"/>
      <c r="M3" s="737" t="s">
        <v>221</v>
      </c>
      <c r="N3" s="738"/>
      <c r="O3" s="745"/>
      <c r="P3" s="745"/>
      <c r="Q3" s="746">
        <f>'Passenger Cars'!S3</f>
        <v>2.4965363879402309</v>
      </c>
      <c r="R3" s="13"/>
      <c r="S3" s="13"/>
      <c r="T3" s="1024"/>
      <c r="U3" s="1024"/>
      <c r="V3" s="27"/>
      <c r="W3" s="650" t="s">
        <v>221</v>
      </c>
      <c r="X3" s="651"/>
      <c r="Y3" s="652"/>
      <c r="Z3" s="652"/>
      <c r="AA3" s="643">
        <f>'Enter Your Data'!I4</f>
        <v>2.2799999999999998</v>
      </c>
    </row>
    <row r="4" spans="1:27" s="10" customFormat="1" ht="21" x14ac:dyDescent="0.4">
      <c r="C4" s="737" t="s">
        <v>4</v>
      </c>
      <c r="D4" s="738"/>
      <c r="E4" s="738"/>
      <c r="F4" s="738"/>
      <c r="G4" s="738"/>
      <c r="H4" s="759"/>
      <c r="I4" s="994"/>
      <c r="J4" s="994"/>
      <c r="K4" s="739">
        <f>'Passenger Cars'!J4</f>
        <v>2.3322905729441636</v>
      </c>
      <c r="L4" s="13"/>
      <c r="M4" s="737" t="s">
        <v>4</v>
      </c>
      <c r="N4" s="738"/>
      <c r="O4" s="745"/>
      <c r="P4" s="745"/>
      <c r="Q4" s="746">
        <f>'Passenger Cars'!S4</f>
        <v>2.3322905729441636</v>
      </c>
      <c r="R4" s="13"/>
      <c r="S4" s="13"/>
      <c r="T4" s="611"/>
      <c r="U4" s="611"/>
      <c r="V4" s="27"/>
      <c r="W4" s="650" t="s">
        <v>4</v>
      </c>
      <c r="X4" s="651"/>
      <c r="Y4" s="652"/>
      <c r="Z4" s="652"/>
      <c r="AA4" s="643">
        <f>'Enter Your Data'!I5</f>
        <v>2.13</v>
      </c>
    </row>
    <row r="5" spans="1:27" s="10" customFormat="1" ht="21" customHeight="1" x14ac:dyDescent="0.4">
      <c r="C5" s="737" t="s">
        <v>5</v>
      </c>
      <c r="D5" s="738"/>
      <c r="E5" s="738"/>
      <c r="F5" s="738"/>
      <c r="G5" s="738"/>
      <c r="H5" s="759"/>
      <c r="I5" s="994"/>
      <c r="J5" s="994"/>
      <c r="K5" s="739">
        <f>'Passenger Cars'!J5</f>
        <v>5.904089563058653</v>
      </c>
      <c r="L5" s="13"/>
      <c r="M5" s="737" t="s">
        <v>314</v>
      </c>
      <c r="N5" s="738"/>
      <c r="O5" s="745"/>
      <c r="P5" s="745"/>
      <c r="Q5" s="746">
        <f>'Passenger Cars'!S5</f>
        <v>4.9999999999999996E-2</v>
      </c>
      <c r="R5" s="13"/>
      <c r="S5" s="13"/>
      <c r="W5" s="650" t="s">
        <v>6</v>
      </c>
      <c r="X5" s="651"/>
      <c r="Y5" s="652"/>
      <c r="Z5" s="652"/>
      <c r="AA5" s="643">
        <f>'Enter Your Data'!I6</f>
        <v>0.05</v>
      </c>
    </row>
    <row r="6" spans="1:27" s="10" customFormat="1" ht="21" customHeight="1" thickBot="1" x14ac:dyDescent="0.45">
      <c r="C6" s="740" t="s">
        <v>7</v>
      </c>
      <c r="D6" s="741"/>
      <c r="E6" s="741"/>
      <c r="F6" s="741"/>
      <c r="G6" s="741"/>
      <c r="H6" s="760"/>
      <c r="I6" s="761"/>
      <c r="J6" s="761"/>
      <c r="K6" s="742" t="s">
        <v>8</v>
      </c>
      <c r="L6" s="13"/>
      <c r="M6" s="740" t="s">
        <v>9</v>
      </c>
      <c r="N6" s="741"/>
      <c r="O6" s="747"/>
      <c r="P6" s="747"/>
      <c r="Q6" s="762">
        <f>'Passenger Cars'!S6</f>
        <v>0.1751955359958057</v>
      </c>
      <c r="R6" s="13"/>
      <c r="S6" s="13"/>
      <c r="W6" s="653" t="s">
        <v>9</v>
      </c>
      <c r="X6" s="654"/>
      <c r="Y6" s="655"/>
      <c r="Z6" s="655"/>
      <c r="AA6" s="646">
        <f>'Enter Your Data'!I7</f>
        <v>0.16</v>
      </c>
    </row>
    <row r="7" spans="1:27" s="61" customFormat="1" ht="21" customHeight="1" thickBot="1" x14ac:dyDescent="0.35">
      <c r="A7" s="50"/>
      <c r="B7" s="50"/>
      <c r="C7" s="50"/>
      <c r="D7" s="50"/>
      <c r="E7" s="50"/>
      <c r="F7" s="50"/>
      <c r="G7" s="50"/>
      <c r="H7" s="50"/>
      <c r="I7" s="50"/>
      <c r="J7" s="13"/>
      <c r="K7" s="13"/>
      <c r="L7" s="13"/>
      <c r="M7" s="13"/>
      <c r="N7" s="13"/>
      <c r="O7" s="13"/>
      <c r="P7" s="13"/>
      <c r="Q7" s="13"/>
      <c r="R7" s="13"/>
      <c r="S7" s="13"/>
      <c r="W7" s="28"/>
      <c r="X7" s="11"/>
      <c r="Y7" s="11"/>
      <c r="Z7" s="11"/>
      <c r="AA7" s="10"/>
    </row>
    <row r="8" spans="1:27" s="61" customFormat="1" ht="21" customHeight="1" thickBot="1" x14ac:dyDescent="0.45">
      <c r="A8" s="50"/>
      <c r="B8" s="10"/>
      <c r="C8" s="1020" t="s">
        <v>10</v>
      </c>
      <c r="D8" s="1021"/>
      <c r="E8" s="1021"/>
      <c r="F8" s="1021"/>
      <c r="G8" s="700">
        <f>'Enter Your Data'!F4</f>
        <v>5000</v>
      </c>
      <c r="H8" s="102"/>
      <c r="I8" s="50"/>
      <c r="J8" s="13"/>
      <c r="K8" s="13"/>
      <c r="L8" s="13"/>
      <c r="M8" s="13"/>
      <c r="N8" s="13"/>
      <c r="O8" s="13"/>
      <c r="P8" s="13"/>
      <c r="Q8" s="13"/>
      <c r="R8" s="13"/>
      <c r="S8" s="13"/>
      <c r="W8" s="28"/>
      <c r="X8" s="11"/>
      <c r="Y8" s="11"/>
      <c r="Z8" s="11"/>
      <c r="AA8" s="10"/>
    </row>
    <row r="9" spans="1:27" s="61" customFormat="1" ht="21" customHeight="1" thickBot="1" x14ac:dyDescent="0.55000000000000004">
      <c r="A9" s="50"/>
      <c r="B9" s="10"/>
      <c r="C9" s="1022" t="s">
        <v>13</v>
      </c>
      <c r="D9" s="1023"/>
      <c r="E9" s="1023"/>
      <c r="F9" s="1023"/>
      <c r="G9" s="700">
        <f>'Enter Your Data'!F6</f>
        <v>13.698630136986301</v>
      </c>
      <c r="H9" s="103"/>
      <c r="I9" s="50"/>
      <c r="J9" s="13"/>
      <c r="K9" s="13"/>
      <c r="L9" s="13"/>
      <c r="M9" s="13"/>
      <c r="N9" s="13"/>
      <c r="O9" s="13"/>
      <c r="P9" s="13"/>
      <c r="Q9" s="999" t="s">
        <v>11</v>
      </c>
      <c r="R9" s="1000"/>
      <c r="S9" s="1001"/>
      <c r="T9" s="62"/>
      <c r="U9" s="62"/>
      <c r="V9" s="63" t="s">
        <v>12</v>
      </c>
      <c r="W9" s="28"/>
      <c r="X9" s="11"/>
      <c r="Y9" s="11"/>
      <c r="Z9" s="11"/>
      <c r="AA9" s="10"/>
    </row>
    <row r="10" spans="1:27" s="10" customFormat="1" ht="19.05" customHeight="1" thickBot="1" x14ac:dyDescent="0.45">
      <c r="A10" s="50"/>
      <c r="F10" s="8"/>
      <c r="G10" s="9"/>
      <c r="H10" s="9"/>
      <c r="I10" s="50"/>
      <c r="J10" s="13"/>
      <c r="K10" s="13"/>
      <c r="L10" s="995" t="s">
        <v>292</v>
      </c>
      <c r="M10" s="996"/>
      <c r="N10" s="996"/>
      <c r="O10" s="969">
        <f>'Enter Your Data'!J19</f>
        <v>10</v>
      </c>
      <c r="P10" s="13"/>
      <c r="Q10" s="910" t="s">
        <v>14</v>
      </c>
      <c r="R10" s="911"/>
      <c r="S10" s="1002"/>
      <c r="T10" s="325"/>
      <c r="U10" s="325"/>
      <c r="V10" s="326"/>
      <c r="W10" s="28"/>
      <c r="X10" s="11"/>
      <c r="Y10" s="11"/>
      <c r="Z10" s="11"/>
    </row>
    <row r="11" spans="1:27" s="10" customFormat="1" ht="21" customHeight="1" thickBot="1" x14ac:dyDescent="0.45">
      <c r="A11" s="50"/>
      <c r="C11" s="8"/>
      <c r="D11" s="8"/>
      <c r="E11" s="8"/>
      <c r="F11" s="8"/>
      <c r="G11" s="9"/>
      <c r="H11" s="9"/>
      <c r="I11" s="50"/>
      <c r="J11" s="13"/>
      <c r="K11" s="13"/>
      <c r="L11" s="997"/>
      <c r="M11" s="998"/>
      <c r="N11" s="998"/>
      <c r="O11" s="970"/>
      <c r="P11" s="13"/>
      <c r="Q11" s="910" t="s">
        <v>15</v>
      </c>
      <c r="R11" s="911"/>
      <c r="S11" s="1003"/>
      <c r="T11" s="167"/>
      <c r="U11" s="167"/>
      <c r="V11" s="168"/>
      <c r="W11" s="28"/>
      <c r="X11" s="11"/>
      <c r="Y11" s="11"/>
      <c r="Z11" s="11"/>
    </row>
    <row r="12" spans="1:27" ht="76.2" customHeight="1" x14ac:dyDescent="0.35">
      <c r="A12" s="50"/>
      <c r="B12" s="10"/>
      <c r="C12" s="1006" t="s">
        <v>114</v>
      </c>
      <c r="D12" s="1011" t="s">
        <v>115</v>
      </c>
      <c r="E12" s="941" t="s">
        <v>18</v>
      </c>
      <c r="F12" s="1014" t="s">
        <v>19</v>
      </c>
      <c r="G12" s="1025" t="s">
        <v>116</v>
      </c>
      <c r="H12" s="613" t="s">
        <v>117</v>
      </c>
      <c r="I12" s="922" t="s">
        <v>118</v>
      </c>
      <c r="J12" s="922" t="s">
        <v>24</v>
      </c>
      <c r="K12" s="1032" t="s">
        <v>25</v>
      </c>
      <c r="L12" s="1027" t="s">
        <v>119</v>
      </c>
      <c r="M12" s="1029" t="s">
        <v>28</v>
      </c>
      <c r="N12" s="920" t="s">
        <v>29</v>
      </c>
      <c r="O12" s="1008" t="s">
        <v>120</v>
      </c>
      <c r="P12" s="13"/>
      <c r="Q12" s="169" t="s">
        <v>31</v>
      </c>
      <c r="R12" s="165"/>
      <c r="S12" s="170" t="s">
        <v>32</v>
      </c>
      <c r="T12" s="170" t="s">
        <v>33</v>
      </c>
      <c r="U12" s="171" t="s">
        <v>34</v>
      </c>
      <c r="V12" s="172" t="s">
        <v>35</v>
      </c>
      <c r="W12" s="610"/>
      <c r="X12" s="4"/>
      <c r="Y12" s="4"/>
      <c r="Z12" s="4"/>
    </row>
    <row r="13" spans="1:27" ht="21" customHeight="1" thickBot="1" x14ac:dyDescent="0.45">
      <c r="A13" s="50"/>
      <c r="B13" s="10"/>
      <c r="C13" s="1007"/>
      <c r="D13" s="1012"/>
      <c r="E13" s="1013"/>
      <c r="F13" s="1015"/>
      <c r="G13" s="1026"/>
      <c r="H13" s="513"/>
      <c r="I13" s="1010"/>
      <c r="J13" s="1010"/>
      <c r="K13" s="1033"/>
      <c r="L13" s="1028"/>
      <c r="M13" s="1030"/>
      <c r="N13" s="1031"/>
      <c r="O13" s="1009"/>
      <c r="P13" s="13"/>
      <c r="Q13" s="173" t="s">
        <v>36</v>
      </c>
      <c r="R13" s="166"/>
      <c r="S13" s="174" t="s">
        <v>37</v>
      </c>
      <c r="T13" s="175"/>
      <c r="U13" s="176"/>
      <c r="V13" s="177" t="s">
        <v>37</v>
      </c>
      <c r="W13" s="610"/>
      <c r="X13" s="4"/>
      <c r="Y13" s="4"/>
      <c r="Z13" s="4"/>
    </row>
    <row r="14" spans="1:27" ht="20.25" customHeight="1" thickBot="1" x14ac:dyDescent="0.45">
      <c r="B14" s="76"/>
      <c r="C14" s="77"/>
      <c r="D14" s="85"/>
      <c r="E14" s="85"/>
      <c r="F14" s="85"/>
      <c r="G14" s="75"/>
      <c r="H14" s="75"/>
      <c r="I14" s="75"/>
      <c r="J14" s="75"/>
      <c r="K14" s="70"/>
      <c r="L14" s="71"/>
      <c r="M14" s="72"/>
      <c r="N14" s="73"/>
      <c r="O14" s="74"/>
      <c r="P14" s="13"/>
      <c r="Q14" s="802"/>
      <c r="R14" s="802"/>
      <c r="S14" s="802"/>
      <c r="T14" s="207"/>
      <c r="U14" s="176"/>
      <c r="V14" s="177"/>
      <c r="W14" s="610"/>
      <c r="X14" s="4"/>
      <c r="Y14" s="4"/>
      <c r="Z14" s="4"/>
    </row>
    <row r="15" spans="1:27" ht="21.75" customHeight="1" thickBot="1" x14ac:dyDescent="0.45">
      <c r="A15" s="981" t="s">
        <v>72</v>
      </c>
      <c r="B15" s="987" t="s">
        <v>121</v>
      </c>
      <c r="C15" s="219" t="s">
        <v>122</v>
      </c>
      <c r="D15" s="387"/>
      <c r="E15" s="387"/>
      <c r="F15" s="387"/>
      <c r="G15" s="222"/>
      <c r="H15" s="222"/>
      <c r="I15" s="222"/>
      <c r="J15" s="222"/>
      <c r="K15" s="388"/>
      <c r="L15" s="220"/>
      <c r="M15" s="221"/>
      <c r="N15" s="222"/>
      <c r="O15" s="223"/>
      <c r="P15" s="13"/>
      <c r="Q15" s="826"/>
      <c r="R15" s="826"/>
      <c r="S15" s="826"/>
      <c r="T15" s="207"/>
      <c r="U15" s="176"/>
      <c r="V15" s="177"/>
      <c r="W15" s="610"/>
      <c r="X15" s="4"/>
      <c r="Y15" s="4"/>
      <c r="Z15" s="4"/>
    </row>
    <row r="16" spans="1:27" s="105" customFormat="1" ht="21" customHeight="1" thickBot="1" x14ac:dyDescent="0.45">
      <c r="A16" s="982"/>
      <c r="B16" s="988"/>
      <c r="C16" s="370" t="s">
        <v>123</v>
      </c>
      <c r="D16" s="390" t="s">
        <v>42</v>
      </c>
      <c r="E16" s="391">
        <f>IF($D16="gasoline",$K$3,IF($D16="electric",$K$5, IF($D16="cng",$K$2, IF($D16="biodiesel",$K$4,IF($D16="plug-in",$K$6,IF($D16="diesel",$K4))))))</f>
        <v>2.4965363879402309</v>
      </c>
      <c r="F16" s="392">
        <f>IF($D16="gasoline",$Q$54,IF($D16="electric",$Q$56,IF($D16="cng",$Q$55,IF($D16="biodiesel",$Q$58,IF($D16="diesel",$Q$57,IF($D16="bicycle",0))))))</f>
        <v>23</v>
      </c>
      <c r="G16" s="393">
        <v>22405</v>
      </c>
      <c r="H16" s="394" t="s">
        <v>124</v>
      </c>
      <c r="I16" s="395">
        <f>+$G$8</f>
        <v>5000</v>
      </c>
      <c r="J16" s="396">
        <v>24</v>
      </c>
      <c r="K16" s="396">
        <v>5</v>
      </c>
      <c r="L16" s="380">
        <f>+($I16/$J16)*O$10*$E16</f>
        <v>5201.1174748754811</v>
      </c>
      <c r="M16" s="445">
        <f>+G16+L16</f>
        <v>27606.117474875482</v>
      </c>
      <c r="N16" s="446">
        <f>+M16/O$10</f>
        <v>2760.6117474875482</v>
      </c>
      <c r="O16" s="228">
        <f>+((O$10*(I16/J16)*F16)/2000)</f>
        <v>23.958333333333336</v>
      </c>
      <c r="P16" s="13"/>
      <c r="Q16" s="826"/>
      <c r="R16" s="826"/>
      <c r="S16" s="826"/>
      <c r="T16" s="208"/>
      <c r="U16" s="202"/>
      <c r="V16" s="203"/>
      <c r="W16" s="106"/>
      <c r="X16" s="107"/>
      <c r="Y16" s="107"/>
      <c r="Z16" s="107"/>
    </row>
    <row r="17" spans="1:26" ht="21" x14ac:dyDescent="0.4">
      <c r="A17" s="982"/>
      <c r="B17" s="988"/>
      <c r="C17" s="371" t="s">
        <v>125</v>
      </c>
      <c r="D17" s="122" t="s">
        <v>42</v>
      </c>
      <c r="E17" s="391">
        <f t="shared" ref="E17:E47" si="0">IF($D17="gasoline",$K$3,IF($D17="electric",$K$5, IF($D17="cng",$K$2, IF($D17="biodiesel",$K$4,IF($D17="plug-in",$K$6,IF($D17="diesel",$K5))))))</f>
        <v>2.4965363879402309</v>
      </c>
      <c r="F17" s="392">
        <f>IF($D17="gasoline",$Q$54,IF($D17="electric",$Q$56,IF($D17="cng",$Q$55,IF($D17="biodiesel",$Q$58,IF($D17="diesel",$Q$57,IF($D17="bicycle",0))))))</f>
        <v>23</v>
      </c>
      <c r="G17" s="311">
        <v>23120</v>
      </c>
      <c r="H17" s="224"/>
      <c r="I17" s="360">
        <f>$G$8</f>
        <v>5000</v>
      </c>
      <c r="J17" s="155">
        <v>20</v>
      </c>
      <c r="K17" s="156">
        <v>5</v>
      </c>
      <c r="L17" s="381">
        <f>+($I17/$J17)*O$10*$E17</f>
        <v>6241.3409698505775</v>
      </c>
      <c r="M17" s="314">
        <f>+G17+L17</f>
        <v>29361.340969850578</v>
      </c>
      <c r="N17" s="314">
        <f>+M17/O$10</f>
        <v>2936.134096985058</v>
      </c>
      <c r="O17" s="225">
        <f>+((O$10*(I17/J17)*F17)/2000)</f>
        <v>28.75</v>
      </c>
      <c r="P17" s="13"/>
      <c r="Q17" s="808">
        <f>M16-M17</f>
        <v>-1755.2234949750964</v>
      </c>
      <c r="R17" s="792"/>
      <c r="S17" s="792"/>
      <c r="T17" s="207"/>
      <c r="U17" s="176"/>
      <c r="V17" s="177"/>
      <c r="W17" s="610"/>
      <c r="X17" s="4"/>
      <c r="Y17" s="4"/>
      <c r="Z17" s="4"/>
    </row>
    <row r="18" spans="1:26" ht="20.25" customHeight="1" thickBot="1" x14ac:dyDescent="0.45">
      <c r="A18" s="982"/>
      <c r="B18" s="988"/>
      <c r="C18" s="372" t="s">
        <v>126</v>
      </c>
      <c r="D18" s="397" t="s">
        <v>66</v>
      </c>
      <c r="E18" s="391">
        <f t="shared" si="0"/>
        <v>1.5091493431777381</v>
      </c>
      <c r="F18" s="398">
        <f>IF($D18="gasoline",$Q$54,IF($D18="electric",$Q$56,IF($D18="cng",$Q$55,IF($D18="biodiesel",$Q$58,IF($D18="diesel",$Q$57,IF($D18="bicycle",0))))))</f>
        <v>14.6</v>
      </c>
      <c r="G18" s="311">
        <v>35000</v>
      </c>
      <c r="H18" s="224"/>
      <c r="I18" s="362">
        <f>+$G$8</f>
        <v>5000</v>
      </c>
      <c r="J18" s="123">
        <v>26</v>
      </c>
      <c r="K18" s="124"/>
      <c r="L18" s="382">
        <f>+($I18/$J18)*O$10*$E18</f>
        <v>2902.2102753418044</v>
      </c>
      <c r="M18" s="316">
        <f>+G18+L18</f>
        <v>37902.210275341808</v>
      </c>
      <c r="N18" s="316">
        <f>+M18/O$10</f>
        <v>3790.2210275341808</v>
      </c>
      <c r="O18" s="229">
        <f>+((O$10*(I18/J18)*F18)/2000)</f>
        <v>14.038461538461538</v>
      </c>
      <c r="P18" s="13"/>
      <c r="Q18" s="808">
        <f>M16-M18</f>
        <v>-10296.092800466326</v>
      </c>
      <c r="R18" s="827"/>
      <c r="S18" s="828">
        <f>M17-M18</f>
        <v>-8540.8693054912292</v>
      </c>
      <c r="T18" s="207"/>
      <c r="U18" s="176"/>
      <c r="V18" s="177"/>
      <c r="W18" s="610"/>
      <c r="X18" s="4"/>
      <c r="Y18" s="4"/>
      <c r="Z18" s="4"/>
    </row>
    <row r="19" spans="1:26" ht="20.25" customHeight="1" thickBot="1" x14ac:dyDescent="0.45">
      <c r="A19" s="982"/>
      <c r="B19" s="206"/>
      <c r="C19" s="373"/>
      <c r="D19" s="399"/>
      <c r="E19" s="400"/>
      <c r="F19" s="401"/>
      <c r="G19" s="402"/>
      <c r="H19" s="400"/>
      <c r="I19" s="361"/>
      <c r="J19" s="267"/>
      <c r="K19" s="268"/>
      <c r="L19" s="383"/>
      <c r="M19" s="318"/>
      <c r="N19" s="318"/>
      <c r="O19" s="161"/>
      <c r="P19" s="13"/>
      <c r="Q19" s="792"/>
      <c r="R19" s="827"/>
      <c r="S19" s="827"/>
      <c r="T19" s="207"/>
      <c r="U19" s="176"/>
      <c r="V19" s="177"/>
      <c r="W19" s="610"/>
      <c r="X19" s="4"/>
      <c r="Y19" s="4"/>
      <c r="Z19" s="4"/>
    </row>
    <row r="20" spans="1:26" ht="20.25" customHeight="1" thickBot="1" x14ac:dyDescent="0.4">
      <c r="A20" s="982"/>
      <c r="B20" s="987" t="s">
        <v>127</v>
      </c>
      <c r="C20" s="374" t="s">
        <v>128</v>
      </c>
      <c r="D20" s="403"/>
      <c r="E20" s="404"/>
      <c r="F20" s="405"/>
      <c r="G20" s="406"/>
      <c r="H20" s="404"/>
      <c r="I20" s="407"/>
      <c r="J20" s="408"/>
      <c r="K20" s="409"/>
      <c r="L20" s="323"/>
      <c r="M20" s="319"/>
      <c r="N20" s="319"/>
      <c r="O20" s="231"/>
      <c r="P20" s="13"/>
      <c r="Q20" s="792"/>
      <c r="R20" s="792"/>
      <c r="S20" s="792"/>
      <c r="T20" s="209"/>
      <c r="U20" s="179"/>
      <c r="V20" s="180"/>
      <c r="W20" s="60"/>
      <c r="X20" s="4"/>
      <c r="Y20" s="4"/>
      <c r="Z20" s="4"/>
    </row>
    <row r="21" spans="1:26" ht="21" customHeight="1" x14ac:dyDescent="0.35">
      <c r="A21" s="982"/>
      <c r="B21" s="988"/>
      <c r="C21" s="375" t="s">
        <v>129</v>
      </c>
      <c r="D21" s="122" t="s">
        <v>42</v>
      </c>
      <c r="E21" s="391">
        <f t="shared" si="0"/>
        <v>2.4965363879402309</v>
      </c>
      <c r="F21" s="392">
        <f>IF($D21="gasoline",$Q$54,IF($D21="electric",$Q$56,IF($D21="cng",$Q$55,IF($D21="biodiesel",$Q$58,IF($D21="diesel",$Q$57,IF($D21="bicycle",0))))))</f>
        <v>23</v>
      </c>
      <c r="G21" s="311">
        <v>31940</v>
      </c>
      <c r="H21" s="224"/>
      <c r="I21" s="362">
        <f>+$G$8</f>
        <v>5000</v>
      </c>
      <c r="J21" s="123">
        <v>18</v>
      </c>
      <c r="K21" s="124">
        <v>5</v>
      </c>
      <c r="L21" s="384">
        <f>+($I21/$J21)*O$10*$E21</f>
        <v>6934.8232998339745</v>
      </c>
      <c r="M21" s="320">
        <f>+G21+L21</f>
        <v>38874.823299833974</v>
      </c>
      <c r="N21" s="320">
        <f>+M21/O$10</f>
        <v>3887.4823299833974</v>
      </c>
      <c r="O21" s="154">
        <f>+((O$10*(I21/J21)*F21)/2000)</f>
        <v>31.944444444444446</v>
      </c>
      <c r="P21" s="13"/>
      <c r="Q21" s="808">
        <f>M23-M21</f>
        <v>-12343.705824958492</v>
      </c>
      <c r="R21" s="792"/>
      <c r="S21" s="792"/>
      <c r="T21" s="209"/>
      <c r="U21" s="179"/>
      <c r="V21" s="180"/>
      <c r="W21" s="60"/>
      <c r="X21" s="4"/>
      <c r="Y21" s="4"/>
      <c r="Z21" s="4"/>
    </row>
    <row r="22" spans="1:26" ht="21" customHeight="1" x14ac:dyDescent="0.4">
      <c r="A22" s="982"/>
      <c r="B22" s="988"/>
      <c r="C22" s="376" t="s">
        <v>130</v>
      </c>
      <c r="D22" s="122" t="s">
        <v>42</v>
      </c>
      <c r="E22" s="391">
        <f t="shared" si="0"/>
        <v>2.4965363879402309</v>
      </c>
      <c r="F22" s="392">
        <f>IF($D22="gasoline",$Q$54,IF($D22="electric",$Q$56,IF($D22="cng",$Q$55,IF($D22="biodiesel",$Q$58,IF($D22="diesel",$Q$57,IF($D22="bicycle",0))))))</f>
        <v>23</v>
      </c>
      <c r="G22" s="311">
        <v>32285</v>
      </c>
      <c r="H22" s="224"/>
      <c r="I22" s="362">
        <f>+$G$8</f>
        <v>5000</v>
      </c>
      <c r="J22" s="123">
        <v>14</v>
      </c>
      <c r="K22" s="124">
        <v>2</v>
      </c>
      <c r="L22" s="384">
        <f>+($I22/$J22)*O$10*$E22</f>
        <v>8916.2013855008245</v>
      </c>
      <c r="M22" s="320">
        <f>+G22+L22</f>
        <v>41201.201385500826</v>
      </c>
      <c r="N22" s="320">
        <f>+M22/O$10</f>
        <v>4120.1201385500826</v>
      </c>
      <c r="O22" s="154">
        <f>+((O$10*(I22/J22)*F22)/2000)</f>
        <v>41.071428571428569</v>
      </c>
      <c r="P22" s="13"/>
      <c r="Q22" s="808">
        <f>M23-M22</f>
        <v>-14670.083910625344</v>
      </c>
      <c r="R22" s="792"/>
      <c r="S22" s="792"/>
      <c r="T22" s="210" t="e">
        <f>+Q22+#REF!</f>
        <v>#REF!</v>
      </c>
      <c r="U22" s="182" t="e">
        <f>-1*+T22/#REF!</f>
        <v>#REF!</v>
      </c>
      <c r="V22" s="183">
        <v>14</v>
      </c>
      <c r="W22" s="1005"/>
      <c r="X22" s="4"/>
      <c r="Y22" s="4"/>
      <c r="Z22" s="4"/>
    </row>
    <row r="23" spans="1:26" ht="20.25" customHeight="1" thickBot="1" x14ac:dyDescent="0.45">
      <c r="A23" s="982"/>
      <c r="B23" s="988"/>
      <c r="C23" s="377" t="s">
        <v>131</v>
      </c>
      <c r="D23" s="122" t="s">
        <v>42</v>
      </c>
      <c r="E23" s="391">
        <f>IF($D23="gasoline",$K$3,IF($D23="electric",$K$5, IF($D23="cng",$K$2, IF($D23="biodiesel",$K$4,IF($D23="plug-in",$K$6,IF($D23="diesel",$K11))))))</f>
        <v>2.4965363879402309</v>
      </c>
      <c r="F23" s="392">
        <f>IF($D23="gasoline",$Q$54,IF($D23="electric",$Q$56,IF($D23="cng",$Q$55,IF($D23="biodiesel",$Q$58,IF($D23="diesel",$Q$57,IF($D23="bicycle",0))))))</f>
        <v>23</v>
      </c>
      <c r="G23" s="311">
        <v>21330</v>
      </c>
      <c r="H23" s="224"/>
      <c r="I23" s="362">
        <f t="shared" ref="I23:I26" si="1">+$G$8</f>
        <v>5000</v>
      </c>
      <c r="J23" s="123">
        <v>24</v>
      </c>
      <c r="K23" s="124">
        <v>6</v>
      </c>
      <c r="L23" s="384">
        <f>+($I23/$J23)*O$10*$E23</f>
        <v>5201.1174748754811</v>
      </c>
      <c r="M23" s="320">
        <f>+G23+L23</f>
        <v>26531.117474875482</v>
      </c>
      <c r="N23" s="320">
        <f>+M23/O$10</f>
        <v>2653.1117474875482</v>
      </c>
      <c r="O23" s="154">
        <f>+((O$10*(I23/J23)*F23)/2000)</f>
        <v>23.958333333333336</v>
      </c>
      <c r="P23" s="13"/>
      <c r="Q23" s="792"/>
      <c r="R23" s="792"/>
      <c r="S23" s="792"/>
      <c r="T23" s="210"/>
      <c r="U23" s="182"/>
      <c r="V23" s="184"/>
      <c r="W23" s="1005"/>
      <c r="X23" s="4"/>
      <c r="Y23" s="4"/>
      <c r="Z23" s="4"/>
    </row>
    <row r="24" spans="1:26" ht="20.25" customHeight="1" thickBot="1" x14ac:dyDescent="0.4">
      <c r="A24" s="982"/>
      <c r="B24" s="833"/>
      <c r="C24" s="378"/>
      <c r="D24" s="266"/>
      <c r="E24" s="400"/>
      <c r="F24" s="401"/>
      <c r="G24" s="402"/>
      <c r="H24" s="400"/>
      <c r="I24" s="361"/>
      <c r="J24" s="267"/>
      <c r="K24" s="268"/>
      <c r="L24" s="385"/>
      <c r="M24" s="321"/>
      <c r="N24" s="321"/>
      <c r="O24" s="234"/>
      <c r="P24" s="13"/>
      <c r="Q24" s="792"/>
      <c r="R24" s="792"/>
      <c r="S24" s="792"/>
      <c r="T24" s="210"/>
      <c r="U24" s="140"/>
      <c r="V24" s="185"/>
      <c r="W24" s="60"/>
      <c r="X24" s="4"/>
      <c r="Y24" s="4"/>
      <c r="Z24" s="4"/>
    </row>
    <row r="25" spans="1:26" ht="20.25" customHeight="1" x14ac:dyDescent="0.35">
      <c r="A25" s="982"/>
      <c r="B25" s="989" t="s">
        <v>132</v>
      </c>
      <c r="C25" s="375" t="s">
        <v>133</v>
      </c>
      <c r="D25" s="122" t="s">
        <v>42</v>
      </c>
      <c r="E25" s="391">
        <f>IF($D25="gasoline",$K$3,IF($D25="electric",$K$5, IF($D25="cng",$K$2, IF($D25="biodiesel",$K$4,IF($D25="plug-in",$K$6,IF($D25="diesel",$K13))))))</f>
        <v>2.4965363879402309</v>
      </c>
      <c r="F25" s="392">
        <f>IF($D25="gasoline",$Q$54,IF($D25="electric",$Q$56,IF($D25="cng",$Q$55,IF($D25="biodiesel",$Q$58,IF($D25="diesel",$Q$57,IF($D25="bicycle",0))))))</f>
        <v>23</v>
      </c>
      <c r="G25" s="311">
        <v>33140</v>
      </c>
      <c r="H25" s="224"/>
      <c r="I25" s="362">
        <f t="shared" si="1"/>
        <v>5000</v>
      </c>
      <c r="J25" s="123">
        <v>10</v>
      </c>
      <c r="K25" s="124">
        <v>1</v>
      </c>
      <c r="L25" s="384">
        <f>+($I25/$J25)*O$10*$E25</f>
        <v>12482.681939701155</v>
      </c>
      <c r="M25" s="320">
        <f>+G25+L25</f>
        <v>45622.681939701157</v>
      </c>
      <c r="N25" s="320">
        <f>+M25/O$10</f>
        <v>4562.268193970116</v>
      </c>
      <c r="O25" s="235">
        <f>+((O$10*(I25/J25)*F25)/2000)</f>
        <v>57.5</v>
      </c>
      <c r="P25" s="13"/>
      <c r="Q25" s="792"/>
      <c r="R25" s="792"/>
      <c r="S25" s="792"/>
      <c r="T25" s="210"/>
      <c r="U25" s="140"/>
      <c r="V25" s="185"/>
      <c r="W25" s="60"/>
      <c r="X25" s="4"/>
      <c r="Y25" s="4"/>
      <c r="Z25" s="4"/>
    </row>
    <row r="26" spans="1:26" ht="20.25" customHeight="1" thickBot="1" x14ac:dyDescent="0.4">
      <c r="A26" s="983"/>
      <c r="B26" s="989"/>
      <c r="C26" s="379" t="s">
        <v>134</v>
      </c>
      <c r="D26" s="122" t="s">
        <v>66</v>
      </c>
      <c r="E26" s="391">
        <f>IF($D26="gasoline",$K$3,IF($D26="electric",$K$5, IF($D26="cng",$K$2, IF($D26="biodiesel",$K$4,IF($D26="plug-in",$K$6,IF($D26="diesel",$K15))))))</f>
        <v>1.5091493431777381</v>
      </c>
      <c r="F26" s="398">
        <f>IF($D26="gasoline",$Q$54,IF($D26="electric",$Q$56,IF($D26="cng",$Q$55,IF($D26="biodiesel",$Q$58,IF($D26="diesel",$Q$57,IF($D26="bicycle",0))))))</f>
        <v>14.6</v>
      </c>
      <c r="G26" s="311">
        <v>41970</v>
      </c>
      <c r="H26" s="224"/>
      <c r="I26" s="362">
        <f t="shared" si="1"/>
        <v>5000</v>
      </c>
      <c r="J26" s="410">
        <v>11</v>
      </c>
      <c r="K26" s="124"/>
      <c r="L26" s="386">
        <f>+($I26/$J26)*O$10*$E26</f>
        <v>6859.769741716992</v>
      </c>
      <c r="M26" s="322">
        <f>+G26+L26</f>
        <v>48829.769741716991</v>
      </c>
      <c r="N26" s="322">
        <f>+M26/O$10</f>
        <v>4882.9769741716991</v>
      </c>
      <c r="O26" s="236">
        <f>+((O$10*(I26/J26)*F26)/2000)</f>
        <v>33.181818181818187</v>
      </c>
      <c r="P26" s="13"/>
      <c r="Q26" s="829">
        <f>M25-M26</f>
        <v>-3207.0878020158343</v>
      </c>
      <c r="R26" s="792"/>
      <c r="S26" s="808">
        <f>M25-M26</f>
        <v>-3207.0878020158343</v>
      </c>
      <c r="T26" s="210"/>
      <c r="U26" s="140"/>
      <c r="V26" s="187"/>
      <c r="W26" s="60"/>
      <c r="X26" s="4"/>
      <c r="Y26" s="4"/>
      <c r="Z26" s="4"/>
    </row>
    <row r="27" spans="1:26" ht="21" customHeight="1" thickBot="1" x14ac:dyDescent="0.4">
      <c r="A27" s="309"/>
      <c r="B27" s="204"/>
      <c r="C27" s="149"/>
      <c r="D27" s="150"/>
      <c r="E27" s="230"/>
      <c r="F27" s="364"/>
      <c r="G27" s="312"/>
      <c r="H27" s="230"/>
      <c r="I27" s="367"/>
      <c r="J27" s="151"/>
      <c r="K27" s="152"/>
      <c r="L27" s="317"/>
      <c r="M27" s="318"/>
      <c r="N27" s="318"/>
      <c r="O27" s="161"/>
      <c r="P27" s="13"/>
      <c r="Q27" s="792"/>
      <c r="R27" s="792"/>
      <c r="S27" s="792"/>
      <c r="T27" s="210"/>
      <c r="U27" s="140" t="s">
        <v>43</v>
      </c>
      <c r="V27" s="188"/>
      <c r="W27" s="60"/>
      <c r="X27" s="4"/>
      <c r="Y27" s="4"/>
      <c r="Z27" s="4"/>
    </row>
    <row r="28" spans="1:26" ht="20.25" customHeight="1" x14ac:dyDescent="0.35">
      <c r="A28" s="984" t="s">
        <v>135</v>
      </c>
      <c r="B28" s="990" t="s">
        <v>121</v>
      </c>
      <c r="C28" s="90" t="s">
        <v>136</v>
      </c>
      <c r="D28" s="237"/>
      <c r="E28" s="230"/>
      <c r="F28" s="364"/>
      <c r="G28" s="312"/>
      <c r="H28" s="230"/>
      <c r="I28" s="368"/>
      <c r="J28" s="151"/>
      <c r="K28" s="152"/>
      <c r="L28" s="317"/>
      <c r="M28" s="318"/>
      <c r="N28" s="318"/>
      <c r="O28" s="161"/>
      <c r="P28" s="13"/>
      <c r="Q28" s="792"/>
      <c r="R28" s="792"/>
      <c r="S28" s="792"/>
      <c r="T28" s="210"/>
      <c r="U28" s="140"/>
      <c r="V28" s="189"/>
      <c r="W28" s="610"/>
      <c r="X28" s="4"/>
      <c r="Y28" s="4"/>
      <c r="Z28" s="4"/>
    </row>
    <row r="29" spans="1:26" ht="20.25" customHeight="1" thickBot="1" x14ac:dyDescent="0.4">
      <c r="A29" s="985"/>
      <c r="B29" s="991"/>
      <c r="C29" s="159" t="s">
        <v>137</v>
      </c>
      <c r="D29" s="411" t="s">
        <v>42</v>
      </c>
      <c r="E29" s="391">
        <f t="shared" ref="E29:E36" si="2">IF($D29="gasoline",$K$3,IF($D29="electric",$K$5, IF($D29="cng",$K$2, IF($D29="biodiesel",$K$4,IF($D29="plug-in",$K$6,IF($D29="diesel",$K18))))))</f>
        <v>2.4965363879402309</v>
      </c>
      <c r="F29" s="392">
        <f t="shared" ref="F29:F36" si="3">IF($D29="gasoline",$Q$54,IF($D29="electric",$Q$56,IF($D29="cng",$Q$55,IF($D29="biodiesel",$Q$58,IF($D29="diesel",$Q$57,IF($D29="bicycle",0))))))</f>
        <v>23</v>
      </c>
      <c r="G29" s="311">
        <v>25420</v>
      </c>
      <c r="H29" s="426"/>
      <c r="I29" s="362">
        <f t="shared" ref="I29:I36" si="4">+$G$8</f>
        <v>5000</v>
      </c>
      <c r="J29" s="123">
        <v>17</v>
      </c>
      <c r="K29" s="124">
        <v>5</v>
      </c>
      <c r="L29" s="314">
        <f t="shared" ref="L29:L36" si="5">+($I29/$J29)*O$10*$E29</f>
        <v>7342.754082177149</v>
      </c>
      <c r="M29" s="314">
        <f>+G29+L$29</f>
        <v>32762.754082177147</v>
      </c>
      <c r="N29" s="464">
        <f t="shared" ref="N29:N36" si="6">+M29/O$10</f>
        <v>3276.2754082177148</v>
      </c>
      <c r="O29" s="147">
        <f t="shared" ref="O29:O36" si="7">+((O$10*(I29/J29)*F29)/2000)</f>
        <v>33.823529411764703</v>
      </c>
      <c r="P29" s="13"/>
      <c r="Q29" s="808">
        <f>$M$32-M29</f>
        <v>-5420</v>
      </c>
      <c r="R29" s="792"/>
      <c r="S29" s="792"/>
      <c r="T29" s="210"/>
      <c r="U29" s="140"/>
      <c r="V29" s="189"/>
      <c r="W29" s="610"/>
      <c r="X29" s="4"/>
      <c r="Y29" s="4"/>
      <c r="Z29" s="4"/>
    </row>
    <row r="30" spans="1:26" ht="20.25" customHeight="1" x14ac:dyDescent="0.35">
      <c r="A30" s="985"/>
      <c r="B30" s="991"/>
      <c r="C30" s="159" t="s">
        <v>138</v>
      </c>
      <c r="D30" s="411" t="s">
        <v>42</v>
      </c>
      <c r="E30" s="391">
        <f t="shared" si="2"/>
        <v>2.4965363879402309</v>
      </c>
      <c r="F30" s="392">
        <f t="shared" si="3"/>
        <v>23</v>
      </c>
      <c r="G30" s="311">
        <v>28375</v>
      </c>
      <c r="H30" s="426"/>
      <c r="I30" s="362">
        <f t="shared" si="4"/>
        <v>5000</v>
      </c>
      <c r="J30" s="123">
        <v>19</v>
      </c>
      <c r="K30" s="124">
        <v>4</v>
      </c>
      <c r="L30" s="314">
        <f t="shared" si="5"/>
        <v>6569.8325998427126</v>
      </c>
      <c r="M30" s="314">
        <f>+G30+L$29</f>
        <v>35717.754082177147</v>
      </c>
      <c r="N30" s="464">
        <f t="shared" si="6"/>
        <v>3571.7754082177148</v>
      </c>
      <c r="O30" s="147">
        <f t="shared" si="7"/>
        <v>30.263157894736839</v>
      </c>
      <c r="P30" s="13"/>
      <c r="Q30" s="808">
        <f t="shared" ref="Q30:Q36" si="8">$M$32-M30</f>
        <v>-8375</v>
      </c>
      <c r="R30" s="792"/>
      <c r="S30" s="792"/>
      <c r="T30" s="212"/>
      <c r="U30" s="142" t="s">
        <v>43</v>
      </c>
      <c r="V30" s="191"/>
      <c r="W30" s="68"/>
      <c r="X30" s="4"/>
      <c r="Y30" s="4"/>
      <c r="Z30" s="4"/>
    </row>
    <row r="31" spans="1:26" ht="20.25" customHeight="1" x14ac:dyDescent="0.35">
      <c r="A31" s="985"/>
      <c r="B31" s="991"/>
      <c r="C31" s="159" t="s">
        <v>139</v>
      </c>
      <c r="D31" s="411" t="s">
        <v>42</v>
      </c>
      <c r="E31" s="391">
        <f t="shared" si="2"/>
        <v>2.4965363879402309</v>
      </c>
      <c r="F31" s="392">
        <f t="shared" si="3"/>
        <v>23</v>
      </c>
      <c r="G31" s="311">
        <v>32025</v>
      </c>
      <c r="H31" s="426"/>
      <c r="I31" s="362">
        <f t="shared" si="4"/>
        <v>5000</v>
      </c>
      <c r="J31" s="123">
        <v>17</v>
      </c>
      <c r="K31" s="124">
        <v>4</v>
      </c>
      <c r="L31" s="314">
        <f t="shared" si="5"/>
        <v>7342.754082177149</v>
      </c>
      <c r="M31" s="314">
        <f>+G31+L$29</f>
        <v>39367.754082177147</v>
      </c>
      <c r="N31" s="464">
        <f t="shared" si="6"/>
        <v>3936.7754082177148</v>
      </c>
      <c r="O31" s="147">
        <f t="shared" si="7"/>
        <v>33.823529411764703</v>
      </c>
      <c r="P31" s="13"/>
      <c r="Q31" s="808">
        <f t="shared" si="8"/>
        <v>-12025</v>
      </c>
      <c r="R31" s="792"/>
      <c r="S31" s="792"/>
      <c r="T31" s="210"/>
      <c r="U31" s="140"/>
      <c r="V31" s="191"/>
      <c r="W31" s="68"/>
      <c r="X31" s="4"/>
      <c r="Y31" s="4"/>
      <c r="Z31" s="4"/>
    </row>
    <row r="32" spans="1:26" ht="20.25" customHeight="1" x14ac:dyDescent="0.35">
      <c r="A32" s="985"/>
      <c r="B32" s="991"/>
      <c r="C32" s="159" t="s">
        <v>140</v>
      </c>
      <c r="D32" s="411" t="s">
        <v>42</v>
      </c>
      <c r="E32" s="391">
        <f t="shared" si="2"/>
        <v>2.4965363879402309</v>
      </c>
      <c r="F32" s="392">
        <f t="shared" si="3"/>
        <v>23</v>
      </c>
      <c r="G32" s="311">
        <v>20000</v>
      </c>
      <c r="H32" s="426"/>
      <c r="I32" s="362">
        <f t="shared" si="4"/>
        <v>5000</v>
      </c>
      <c r="J32" s="123">
        <v>20</v>
      </c>
      <c r="K32" s="124">
        <v>4</v>
      </c>
      <c r="L32" s="314">
        <f t="shared" si="5"/>
        <v>6241.3409698505775</v>
      </c>
      <c r="M32" s="314">
        <f>+G32+L$29</f>
        <v>27342.754082177147</v>
      </c>
      <c r="N32" s="464">
        <f t="shared" si="6"/>
        <v>2734.2754082177148</v>
      </c>
      <c r="O32" s="147">
        <f t="shared" si="7"/>
        <v>28.75</v>
      </c>
      <c r="P32" s="13"/>
      <c r="Q32" s="809">
        <f t="shared" si="8"/>
        <v>0</v>
      </c>
      <c r="R32" s="792"/>
      <c r="S32" s="792"/>
      <c r="T32" s="210"/>
      <c r="U32" s="140"/>
      <c r="V32" s="191"/>
      <c r="W32" s="68"/>
      <c r="X32" s="4"/>
      <c r="Y32" s="4"/>
      <c r="Z32" s="4"/>
    </row>
    <row r="33" spans="1:26" ht="20.25" customHeight="1" x14ac:dyDescent="0.35">
      <c r="A33" s="985"/>
      <c r="B33" s="991"/>
      <c r="C33" s="159" t="s">
        <v>141</v>
      </c>
      <c r="D33" s="411" t="s">
        <v>60</v>
      </c>
      <c r="E33" s="391">
        <f t="shared" si="2"/>
        <v>2.3322905729441636</v>
      </c>
      <c r="F33" s="392">
        <f t="shared" si="3"/>
        <v>19</v>
      </c>
      <c r="G33" s="311">
        <v>23080</v>
      </c>
      <c r="H33" s="426"/>
      <c r="I33" s="362">
        <f t="shared" si="4"/>
        <v>5000</v>
      </c>
      <c r="J33" s="123">
        <v>22</v>
      </c>
      <c r="K33" s="124">
        <v>4</v>
      </c>
      <c r="L33" s="314">
        <f t="shared" si="5"/>
        <v>5300.6603930549181</v>
      </c>
      <c r="M33" s="314">
        <f>+G33+L$29</f>
        <v>30422.754082177147</v>
      </c>
      <c r="N33" s="464">
        <f t="shared" si="6"/>
        <v>3042.2754082177148</v>
      </c>
      <c r="O33" s="147">
        <f t="shared" si="7"/>
        <v>21.590909090909093</v>
      </c>
      <c r="P33" s="13"/>
      <c r="Q33" s="808">
        <f t="shared" si="8"/>
        <v>-3080</v>
      </c>
      <c r="R33" s="792"/>
      <c r="S33" s="808">
        <f>M32-M33</f>
        <v>-3080</v>
      </c>
      <c r="T33" s="210"/>
      <c r="U33" s="140"/>
      <c r="V33" s="191"/>
      <c r="W33" s="68"/>
      <c r="X33" s="4"/>
      <c r="Y33" s="4"/>
      <c r="Z33" s="4"/>
    </row>
    <row r="34" spans="1:26" ht="20.25" customHeight="1" x14ac:dyDescent="0.35">
      <c r="A34" s="985"/>
      <c r="B34" s="991"/>
      <c r="C34" s="122" t="s">
        <v>142</v>
      </c>
      <c r="D34" s="371" t="s">
        <v>42</v>
      </c>
      <c r="E34" s="391">
        <f t="shared" si="2"/>
        <v>2.4965363879402309</v>
      </c>
      <c r="F34" s="392">
        <f t="shared" si="3"/>
        <v>23</v>
      </c>
      <c r="G34" s="311">
        <v>29080</v>
      </c>
      <c r="H34" s="426"/>
      <c r="I34" s="362">
        <f t="shared" si="4"/>
        <v>5000</v>
      </c>
      <c r="J34" s="123">
        <v>18</v>
      </c>
      <c r="K34" s="124">
        <v>4</v>
      </c>
      <c r="L34" s="314">
        <f t="shared" si="5"/>
        <v>6934.8232998339745</v>
      </c>
      <c r="M34" s="314">
        <f>+G34+L34</f>
        <v>36014.823299833974</v>
      </c>
      <c r="N34" s="314">
        <f t="shared" si="6"/>
        <v>3601.4823299833974</v>
      </c>
      <c r="O34" s="465">
        <f t="shared" si="7"/>
        <v>31.944444444444446</v>
      </c>
      <c r="P34" s="13"/>
      <c r="Q34" s="808">
        <f t="shared" si="8"/>
        <v>-8672.0692176568264</v>
      </c>
      <c r="R34" s="792"/>
      <c r="S34" s="792"/>
      <c r="T34" s="210"/>
      <c r="U34" s="140"/>
      <c r="V34" s="191"/>
      <c r="W34" s="68"/>
      <c r="X34" s="4"/>
      <c r="Y34" s="4"/>
      <c r="Z34" s="4"/>
    </row>
    <row r="35" spans="1:26" s="67" customFormat="1" ht="20.25" customHeight="1" x14ac:dyDescent="0.35">
      <c r="A35" s="985"/>
      <c r="B35" s="991"/>
      <c r="C35" s="122" t="s">
        <v>143</v>
      </c>
      <c r="D35" s="412" t="s">
        <v>42</v>
      </c>
      <c r="E35" s="391">
        <f t="shared" si="2"/>
        <v>2.4965363879402309</v>
      </c>
      <c r="F35" s="392">
        <f t="shared" si="3"/>
        <v>23</v>
      </c>
      <c r="G35" s="311">
        <v>31725</v>
      </c>
      <c r="H35" s="426"/>
      <c r="I35" s="362">
        <f t="shared" si="4"/>
        <v>5000</v>
      </c>
      <c r="J35" s="123">
        <v>16</v>
      </c>
      <c r="K35" s="124">
        <v>3</v>
      </c>
      <c r="L35" s="314">
        <f t="shared" si="5"/>
        <v>7801.6762123132212</v>
      </c>
      <c r="M35" s="314">
        <f>+G35+L35</f>
        <v>39526.676212313221</v>
      </c>
      <c r="N35" s="314">
        <f t="shared" ref="N35" si="9">+M35/O$10</f>
        <v>3952.6676212313223</v>
      </c>
      <c r="O35" s="431">
        <f t="shared" si="7"/>
        <v>35.9375</v>
      </c>
      <c r="P35" s="13"/>
      <c r="Q35" s="808">
        <f t="shared" si="8"/>
        <v>-12183.922130136074</v>
      </c>
      <c r="R35" s="790"/>
      <c r="S35" s="790"/>
      <c r="T35" s="213"/>
      <c r="U35" s="143" t="s">
        <v>43</v>
      </c>
      <c r="V35" s="193"/>
      <c r="W35" s="69"/>
      <c r="X35" s="66"/>
      <c r="Y35" s="66"/>
      <c r="Z35" s="66"/>
    </row>
    <row r="36" spans="1:26" s="67" customFormat="1" ht="20.25" customHeight="1" thickBot="1" x14ac:dyDescent="0.4">
      <c r="A36" s="985"/>
      <c r="B36" s="991"/>
      <c r="C36" s="148" t="s">
        <v>144</v>
      </c>
      <c r="D36" s="413" t="s">
        <v>66</v>
      </c>
      <c r="E36" s="391">
        <f t="shared" si="2"/>
        <v>1.5091493431777381</v>
      </c>
      <c r="F36" s="398">
        <f t="shared" si="3"/>
        <v>14.6</v>
      </c>
      <c r="G36" s="311">
        <v>32280</v>
      </c>
      <c r="H36" s="426"/>
      <c r="I36" s="362">
        <f t="shared" si="4"/>
        <v>5000</v>
      </c>
      <c r="J36" s="434">
        <v>14</v>
      </c>
      <c r="K36" s="124"/>
      <c r="L36" s="314">
        <f t="shared" si="5"/>
        <v>5389.8190827776361</v>
      </c>
      <c r="M36" s="314">
        <f>+G36+L36</f>
        <v>37669.819082777634</v>
      </c>
      <c r="N36" s="314">
        <f t="shared" si="6"/>
        <v>3766.9819082777635</v>
      </c>
      <c r="O36" s="431">
        <f t="shared" si="7"/>
        <v>26.071428571428573</v>
      </c>
      <c r="P36" s="13"/>
      <c r="Q36" s="808">
        <f t="shared" si="8"/>
        <v>-10327.065000600487</v>
      </c>
      <c r="R36" s="790"/>
      <c r="S36" s="830">
        <f>M34-M36</f>
        <v>-1654.9957829436607</v>
      </c>
      <c r="T36" s="213"/>
      <c r="U36" s="141"/>
      <c r="V36" s="193"/>
      <c r="W36" s="69"/>
      <c r="X36" s="66"/>
      <c r="Y36" s="66"/>
      <c r="Z36" s="66"/>
    </row>
    <row r="37" spans="1:26" ht="19.95" customHeight="1" x14ac:dyDescent="0.35">
      <c r="A37" s="985"/>
      <c r="B37" s="206"/>
      <c r="C37" s="149"/>
      <c r="D37" s="389"/>
      <c r="E37" s="400"/>
      <c r="F37" s="401"/>
      <c r="G37" s="402"/>
      <c r="H37" s="427"/>
      <c r="I37" s="361"/>
      <c r="J37" s="267"/>
      <c r="K37" s="268"/>
      <c r="L37" s="435"/>
      <c r="M37" s="435"/>
      <c r="N37" s="435"/>
      <c r="O37" s="432"/>
      <c r="P37" s="13"/>
      <c r="Q37" s="792"/>
      <c r="R37" s="792"/>
      <c r="S37" s="792"/>
      <c r="T37" s="214" t="e">
        <f>+Q37+#REF!</f>
        <v>#REF!</v>
      </c>
      <c r="U37" s="140" t="s">
        <v>43</v>
      </c>
      <c r="V37" s="191"/>
      <c r="W37" s="610"/>
      <c r="X37" s="4"/>
      <c r="Y37" s="4"/>
      <c r="Z37" s="4"/>
    </row>
    <row r="38" spans="1:26" ht="20.25" customHeight="1" thickBot="1" x14ac:dyDescent="0.4">
      <c r="A38" s="985"/>
      <c r="B38" s="992" t="s">
        <v>127</v>
      </c>
      <c r="C38" s="163" t="s">
        <v>145</v>
      </c>
      <c r="D38" s="276" t="s">
        <v>42</v>
      </c>
      <c r="E38" s="391">
        <f t="shared" si="0"/>
        <v>2.4965363879402309</v>
      </c>
      <c r="F38" s="392">
        <f>IF($D38="gasoline",$Q$54,IF($D38="electric",$Q$56,IF($D38="cng",$Q$55,IF($D38="biodiesel",$Q$58,IF($D38="diesel",$Q$57,IF($D38="bicycle",0))))))</f>
        <v>23</v>
      </c>
      <c r="G38" s="311">
        <v>32580</v>
      </c>
      <c r="H38" s="426"/>
      <c r="I38" s="362">
        <f>+$G$8</f>
        <v>5000</v>
      </c>
      <c r="J38" s="123">
        <v>10</v>
      </c>
      <c r="K38" s="124">
        <v>1</v>
      </c>
      <c r="L38" s="314">
        <f>+($I38/$J38)*O$10*$E38</f>
        <v>12482.681939701155</v>
      </c>
      <c r="M38" s="314">
        <f>+G38+L38</f>
        <v>45062.681939701157</v>
      </c>
      <c r="N38" s="314">
        <f>+M38/O$10</f>
        <v>4506.268193970116</v>
      </c>
      <c r="O38" s="431">
        <f>+((O$10*(I38/J38)*F38)/2000)</f>
        <v>57.5</v>
      </c>
      <c r="P38" s="13"/>
      <c r="Q38" s="792"/>
      <c r="R38" s="792"/>
      <c r="S38" s="792"/>
      <c r="T38" s="215"/>
      <c r="U38" s="145"/>
      <c r="V38" s="189"/>
      <c r="W38" s="610"/>
      <c r="X38" s="4"/>
      <c r="Y38" s="4"/>
      <c r="Z38" s="4"/>
    </row>
    <row r="39" spans="1:26" s="67" customFormat="1" ht="20.25" customHeight="1" x14ac:dyDescent="0.35">
      <c r="A39" s="985"/>
      <c r="B39" s="992"/>
      <c r="C39" s="163" t="s">
        <v>146</v>
      </c>
      <c r="D39" s="276" t="s">
        <v>66</v>
      </c>
      <c r="E39" s="391">
        <f t="shared" si="0"/>
        <v>1.5091493431777381</v>
      </c>
      <c r="F39" s="398">
        <f>IF($D39="gasoline",$Q$54,IF($D39="electric",$Q$56,IF($D39="cng",$Q$55,IF($D39="biodiesel",$Q$58,IF($D39="diesel",$Q$57,IF($D39="bicycle",0))))))</f>
        <v>14.6</v>
      </c>
      <c r="G39" s="311">
        <v>41330</v>
      </c>
      <c r="H39" s="426"/>
      <c r="I39" s="362">
        <f>+$G$8</f>
        <v>5000</v>
      </c>
      <c r="J39" s="123">
        <v>13</v>
      </c>
      <c r="K39" s="124">
        <v>3</v>
      </c>
      <c r="L39" s="314">
        <f>+($I39/$J39)*O$10*$E39</f>
        <v>5804.4205506836088</v>
      </c>
      <c r="M39" s="314">
        <f>+G39+L39</f>
        <v>47134.420550683608</v>
      </c>
      <c r="N39" s="314">
        <f>+M39/O$10</f>
        <v>4713.4420550683608</v>
      </c>
      <c r="O39" s="431">
        <f>+((O$10*(I39/J39)*F39)/2000)</f>
        <v>28.076923076923077</v>
      </c>
      <c r="P39" s="13"/>
      <c r="Q39" s="830">
        <f>$M$38-M39</f>
        <v>-2071.7386109824511</v>
      </c>
      <c r="R39" s="790"/>
      <c r="S39" s="830">
        <f>M38-M39</f>
        <v>-2071.7386109824511</v>
      </c>
      <c r="T39" s="216"/>
      <c r="U39" s="197" t="s">
        <v>43</v>
      </c>
      <c r="V39" s="193"/>
      <c r="W39" s="69"/>
      <c r="X39" s="66"/>
      <c r="Y39" s="66"/>
      <c r="Z39" s="66"/>
    </row>
    <row r="40" spans="1:26" s="67" customFormat="1" ht="20.25" customHeight="1" x14ac:dyDescent="0.35">
      <c r="A40" s="985"/>
      <c r="B40" s="992"/>
      <c r="C40" s="164" t="s">
        <v>147</v>
      </c>
      <c r="D40" s="276" t="s">
        <v>66</v>
      </c>
      <c r="E40" s="391">
        <f t="shared" si="0"/>
        <v>1.5091493431777381</v>
      </c>
      <c r="F40" s="398">
        <f>IF($D40="gasoline",$Q$54,IF($D40="electric",$Q$56,IF($D40="cng",$Q$55,IF($D40="biodiesel",$Q$58,IF($D40="diesel",$Q$57,IF($D40="bicycle",0))))))</f>
        <v>14.6</v>
      </c>
      <c r="G40" s="311">
        <v>41585</v>
      </c>
      <c r="H40" s="426"/>
      <c r="I40" s="362">
        <f>+$G$8</f>
        <v>5000</v>
      </c>
      <c r="J40" s="123">
        <v>10</v>
      </c>
      <c r="K40" s="124">
        <v>1</v>
      </c>
      <c r="L40" s="314">
        <f>+($I40/$J40)*O$10*$E40</f>
        <v>7545.7467158886902</v>
      </c>
      <c r="M40" s="314">
        <f>+G40+L40</f>
        <v>49130.746715888687</v>
      </c>
      <c r="N40" s="314">
        <f>+M40/O$10</f>
        <v>4913.074671588869</v>
      </c>
      <c r="O40" s="431">
        <f>+((O$10*(I40/J40)*F40)/2000)</f>
        <v>36.5</v>
      </c>
      <c r="P40" s="13"/>
      <c r="Q40" s="830">
        <f t="shared" ref="Q40:Q41" si="10">$M$38-M40</f>
        <v>-4068.0647761875298</v>
      </c>
      <c r="R40" s="790"/>
      <c r="S40" s="790"/>
      <c r="T40" s="211"/>
      <c r="U40" s="141"/>
      <c r="V40" s="193"/>
      <c r="W40" s="69"/>
      <c r="X40" s="66"/>
      <c r="Y40" s="66"/>
      <c r="Z40" s="66"/>
    </row>
    <row r="41" spans="1:26" ht="20.25" customHeight="1" thickBot="1" x14ac:dyDescent="0.4">
      <c r="A41" s="985"/>
      <c r="B41" s="992"/>
      <c r="C41" s="232" t="s">
        <v>148</v>
      </c>
      <c r="D41" s="414" t="s">
        <v>42</v>
      </c>
      <c r="E41" s="391">
        <f t="shared" si="0"/>
        <v>2.4965363879402309</v>
      </c>
      <c r="F41" s="392">
        <f>IF($D41="gasoline",$Q$54,IF($D41="electric",$Q$56,IF($D41="cng",$Q$55,IF($D41="biodiesel",$Q$58,IF($D41="diesel",$Q$57,IF($D41="bicycle",0))))))</f>
        <v>23</v>
      </c>
      <c r="G41" s="311">
        <v>36915</v>
      </c>
      <c r="H41" s="426"/>
      <c r="I41" s="362">
        <f>+$G$8</f>
        <v>5000</v>
      </c>
      <c r="J41" s="123">
        <v>10</v>
      </c>
      <c r="K41" s="124">
        <v>1</v>
      </c>
      <c r="L41" s="314">
        <f>+($I41/$J41)*O$10*$E41</f>
        <v>12482.681939701155</v>
      </c>
      <c r="M41" s="314">
        <f>+G41+L41</f>
        <v>49397.681939701157</v>
      </c>
      <c r="N41" s="314">
        <f>+M41/O$10</f>
        <v>4939.768193970116</v>
      </c>
      <c r="O41" s="433">
        <f>+((O$10*(I41/J41)*F41)/2000)</f>
        <v>57.5</v>
      </c>
      <c r="P41" s="13"/>
      <c r="Q41" s="830">
        <f t="shared" si="10"/>
        <v>-4335</v>
      </c>
      <c r="R41" s="792"/>
      <c r="S41" s="792"/>
      <c r="T41" s="214"/>
      <c r="U41" s="140" t="s">
        <v>43</v>
      </c>
      <c r="V41" s="191"/>
      <c r="W41" s="610"/>
      <c r="X41" s="4"/>
      <c r="Y41" s="4"/>
      <c r="Z41" s="4"/>
    </row>
    <row r="42" spans="1:26" ht="21" customHeight="1" x14ac:dyDescent="0.35">
      <c r="A42" s="985"/>
      <c r="B42" s="206"/>
      <c r="C42" s="238"/>
      <c r="D42" s="238"/>
      <c r="E42" s="418"/>
      <c r="F42" s="419"/>
      <c r="G42" s="420"/>
      <c r="H42" s="428"/>
      <c r="I42" s="421"/>
      <c r="J42" s="436"/>
      <c r="K42" s="408"/>
      <c r="L42" s="437"/>
      <c r="M42" s="437"/>
      <c r="N42" s="437"/>
      <c r="O42" s="239"/>
      <c r="P42" s="13"/>
      <c r="Q42" s="792"/>
      <c r="R42" s="792"/>
      <c r="S42" s="792"/>
      <c r="T42" s="214" t="e">
        <f>+Q42+#REF!</f>
        <v>#REF!</v>
      </c>
      <c r="U42" s="144" t="e">
        <f>+S42/#REF!</f>
        <v>#REF!</v>
      </c>
      <c r="V42" s="198"/>
      <c r="W42" s="610"/>
      <c r="X42" s="4"/>
      <c r="Y42" s="4"/>
      <c r="Z42" s="4"/>
    </row>
    <row r="43" spans="1:26" ht="20.25" customHeight="1" x14ac:dyDescent="0.35">
      <c r="A43" s="985"/>
      <c r="B43" s="980" t="s">
        <v>132</v>
      </c>
      <c r="C43" s="226" t="s">
        <v>149</v>
      </c>
      <c r="D43" s="415" t="s">
        <v>42</v>
      </c>
      <c r="E43" s="391">
        <f t="shared" si="0"/>
        <v>2.4965363879402309</v>
      </c>
      <c r="F43" s="392">
        <f>IF($D43="gasoline",$Q$54,IF($D43="electric",$Q$56,IF($D43="cng",$Q$55,IF($D43="biodiesel",$Q$58,IF($D43="diesel",$Q$57,IF($D43="bicycle",0))))))</f>
        <v>23</v>
      </c>
      <c r="G43" s="422">
        <v>36505</v>
      </c>
      <c r="H43" s="429"/>
      <c r="I43" s="423">
        <f>+$G$8</f>
        <v>5000</v>
      </c>
      <c r="J43" s="123">
        <v>8</v>
      </c>
      <c r="K43" s="123">
        <v>1</v>
      </c>
      <c r="L43" s="314">
        <f>+($I43/$J43)*O$10*$E43</f>
        <v>15603.352424626442</v>
      </c>
      <c r="M43" s="314">
        <f>+G43+L43</f>
        <v>52108.352424626442</v>
      </c>
      <c r="N43" s="314">
        <f>+M43/O$10</f>
        <v>5210.8352424626446</v>
      </c>
      <c r="O43" s="227">
        <f>+((O$10*(I43/J43)*F43)/2000)</f>
        <v>71.875</v>
      </c>
      <c r="P43" s="13"/>
      <c r="Q43" s="808">
        <f>$M$46-M43</f>
        <v>-573.70582495849521</v>
      </c>
      <c r="R43" s="792"/>
      <c r="S43" s="792"/>
      <c r="T43" s="200"/>
      <c r="U43" s="201"/>
      <c r="V43" s="199"/>
      <c r="W43" s="610"/>
      <c r="X43" s="4"/>
      <c r="Y43" s="4"/>
      <c r="Z43" s="4"/>
    </row>
    <row r="44" spans="1:26" ht="21" customHeight="1" x14ac:dyDescent="0.35">
      <c r="A44" s="985"/>
      <c r="B44" s="980"/>
      <c r="C44" s="240" t="s">
        <v>150</v>
      </c>
      <c r="D44" s="416" t="s">
        <v>66</v>
      </c>
      <c r="E44" s="391">
        <f t="shared" si="0"/>
        <v>1.5091493431777381</v>
      </c>
      <c r="F44" s="398">
        <f>IF($D44="gasoline",$Q$54,IF($D44="electric",$Q$56,IF($D44="cng",$Q$55,IF($D44="biodiesel",$Q$58,IF($D44="diesel",$Q$57,IF($D44="bicycle",0))))))</f>
        <v>14.6</v>
      </c>
      <c r="G44" s="424">
        <v>45285</v>
      </c>
      <c r="H44" s="430"/>
      <c r="I44" s="425">
        <f>+$G$8</f>
        <v>5000</v>
      </c>
      <c r="J44" s="123">
        <v>8</v>
      </c>
      <c r="K44" s="123"/>
      <c r="L44" s="314">
        <f>+($I44/$J44)*O$10*$E44</f>
        <v>9432.1833948608637</v>
      </c>
      <c r="M44" s="314">
        <f>+G44+L44</f>
        <v>54717.183394860862</v>
      </c>
      <c r="N44" s="314">
        <f>+M44/O$10</f>
        <v>5471.7183394860858</v>
      </c>
      <c r="O44" s="227">
        <f>+((O$10*(I44/J44)*F44)/2000)</f>
        <v>45.625</v>
      </c>
      <c r="P44" s="13"/>
      <c r="Q44" s="808">
        <f t="shared" ref="Q44:Q47" si="11">$M$46-M44</f>
        <v>-3182.5367951929147</v>
      </c>
      <c r="R44" s="792"/>
      <c r="S44" s="808">
        <f>M43-M44</f>
        <v>-2608.8309702344195</v>
      </c>
      <c r="T44" s="200"/>
      <c r="U44" s="201"/>
      <c r="V44" s="199"/>
      <c r="W44" s="610"/>
      <c r="X44" s="4"/>
      <c r="Y44" s="4"/>
      <c r="Z44" s="4"/>
    </row>
    <row r="45" spans="1:26" ht="21" customHeight="1" x14ac:dyDescent="0.35">
      <c r="A45" s="985"/>
      <c r="B45" s="980"/>
      <c r="C45" s="241" t="s">
        <v>151</v>
      </c>
      <c r="D45" s="417" t="s">
        <v>60</v>
      </c>
      <c r="E45" s="391">
        <f t="shared" si="0"/>
        <v>2.3322905729441636</v>
      </c>
      <c r="F45" s="392">
        <f>IF($D45="gasoline",$Q$54,IF($D45="electric",$Q$56,IF($D45="cng",$Q$55,IF($D45="biodiesel",$Q$58,IF($D45="diesel",$Q$57,IF($D45="bicycle",0))))))</f>
        <v>19</v>
      </c>
      <c r="G45" s="424">
        <v>45300</v>
      </c>
      <c r="H45" s="430"/>
      <c r="I45" s="425">
        <f>+$G$8</f>
        <v>5000</v>
      </c>
      <c r="J45" s="123">
        <v>10</v>
      </c>
      <c r="K45" s="123">
        <v>1</v>
      </c>
      <c r="L45" s="314">
        <f>+($I45/$J45)*O$10*$E45</f>
        <v>11661.452864720819</v>
      </c>
      <c r="M45" s="314">
        <f>+G45+L45</f>
        <v>56961.452864720821</v>
      </c>
      <c r="N45" s="314">
        <f>+M45/O$10</f>
        <v>5696.1452864720823</v>
      </c>
      <c r="O45" s="227">
        <f>+((O$10*(I45/J45)*F45)/2000)</f>
        <v>47.5</v>
      </c>
      <c r="P45" s="13"/>
      <c r="Q45" s="808">
        <f t="shared" si="11"/>
        <v>-5426.8062650528736</v>
      </c>
      <c r="R45" s="792"/>
      <c r="S45" s="808">
        <f>M43-M45</f>
        <v>-4853.1004400943784</v>
      </c>
      <c r="T45" s="200"/>
      <c r="U45" s="201"/>
      <c r="V45" s="199"/>
      <c r="W45" s="610"/>
      <c r="X45" s="4"/>
      <c r="Y45" s="4"/>
      <c r="Z45" s="4"/>
    </row>
    <row r="46" spans="1:26" ht="21" customHeight="1" x14ac:dyDescent="0.35">
      <c r="A46" s="985"/>
      <c r="B46" s="980"/>
      <c r="C46" s="242" t="s">
        <v>152</v>
      </c>
      <c r="D46" s="417" t="s">
        <v>42</v>
      </c>
      <c r="E46" s="391">
        <f t="shared" si="0"/>
        <v>2.4965363879402309</v>
      </c>
      <c r="F46" s="392">
        <f>IF($D46="gasoline",$Q$54,IF($D46="electric",$Q$56,IF($D46="cng",$Q$55,IF($D46="biodiesel",$Q$58,IF($D46="diesel",$Q$57,IF($D46="bicycle",0))))))</f>
        <v>23</v>
      </c>
      <c r="G46" s="424">
        <v>37665</v>
      </c>
      <c r="H46" s="430"/>
      <c r="I46" s="425">
        <f>+$G$8</f>
        <v>5000</v>
      </c>
      <c r="J46" s="123">
        <v>9</v>
      </c>
      <c r="K46" s="123">
        <v>1</v>
      </c>
      <c r="L46" s="314">
        <f>+($I46/$J46)*O$10*$E46</f>
        <v>13869.646599667949</v>
      </c>
      <c r="M46" s="314">
        <f>+G46+L46</f>
        <v>51534.646599667947</v>
      </c>
      <c r="N46" s="314">
        <f>+M46/O$10</f>
        <v>5153.4646599667949</v>
      </c>
      <c r="O46" s="227">
        <f>+((O$10*(I46/J46)*F46)/2000)</f>
        <v>63.888888888888893</v>
      </c>
      <c r="P46" s="13"/>
      <c r="Q46" s="809">
        <f t="shared" si="11"/>
        <v>0</v>
      </c>
      <c r="R46" s="792"/>
      <c r="S46" s="792"/>
      <c r="T46" s="200"/>
      <c r="U46" s="201"/>
      <c r="V46" s="199"/>
      <c r="W46" s="610"/>
      <c r="X46" s="4"/>
      <c r="Y46" s="4"/>
      <c r="Z46" s="4"/>
    </row>
    <row r="47" spans="1:26" ht="21" customHeight="1" thickBot="1" x14ac:dyDescent="0.4">
      <c r="A47" s="986"/>
      <c r="B47" s="980"/>
      <c r="C47" s="243" t="s">
        <v>153</v>
      </c>
      <c r="D47" s="244" t="s">
        <v>60</v>
      </c>
      <c r="E47" s="310">
        <f t="shared" si="0"/>
        <v>2.3322905729441636</v>
      </c>
      <c r="F47" s="363">
        <f>IF($D47="gasoline",$Q$54,IF($D47="electric",$Q$56,IF($D47="cng",$Q$55,IF($D47="biodiesel",$Q$58,IF($D47="diesel",$Q$57,IF($D47="bicycle",0))))))</f>
        <v>19</v>
      </c>
      <c r="G47" s="313">
        <v>43140</v>
      </c>
      <c r="H47" s="245"/>
      <c r="I47" s="369">
        <f>+$G$8</f>
        <v>5000</v>
      </c>
      <c r="J47" s="246">
        <v>10</v>
      </c>
      <c r="K47" s="247">
        <v>1</v>
      </c>
      <c r="L47" s="315">
        <f>+($I47/$J47)*O$10*$E47</f>
        <v>11661.452864720819</v>
      </c>
      <c r="M47" s="316">
        <f>+G47+L47</f>
        <v>54801.452864720821</v>
      </c>
      <c r="N47" s="316">
        <f>+M47/O$10</f>
        <v>5480.1452864720823</v>
      </c>
      <c r="O47" s="248">
        <f>+((O$10*(I47/J47)*F47)/2000)</f>
        <v>47.5</v>
      </c>
      <c r="P47" s="13"/>
      <c r="Q47" s="808">
        <f t="shared" si="11"/>
        <v>-3266.8062650528736</v>
      </c>
      <c r="R47" s="792"/>
      <c r="S47" s="808">
        <f>M46-M47</f>
        <v>-3266.8062650528736</v>
      </c>
      <c r="T47" s="200"/>
      <c r="U47" s="201"/>
      <c r="V47" s="199"/>
      <c r="W47" s="610"/>
      <c r="X47" s="4"/>
      <c r="Y47" s="4"/>
      <c r="Z47" s="4"/>
    </row>
    <row r="48" spans="1:26" ht="21" customHeight="1" x14ac:dyDescent="0.35">
      <c r="A48" s="308"/>
      <c r="B48" s="205"/>
      <c r="C48" s="82"/>
      <c r="D48" s="82"/>
      <c r="E48" s="82"/>
      <c r="F48" s="82"/>
      <c r="G48" s="3"/>
      <c r="H48" s="3"/>
      <c r="I48" s="78"/>
      <c r="O48"/>
      <c r="P48" s="13"/>
      <c r="Q48"/>
      <c r="R48"/>
      <c r="S48"/>
      <c r="V48"/>
      <c r="W48"/>
      <c r="X48" s="4"/>
      <c r="Y48" s="4"/>
      <c r="Z48" s="4"/>
    </row>
    <row r="49" spans="3:26" ht="21" customHeight="1" x14ac:dyDescent="0.35">
      <c r="C49" s="1016" t="s">
        <v>69</v>
      </c>
      <c r="D49" s="1017"/>
      <c r="E49" s="1017"/>
      <c r="F49" s="1017"/>
      <c r="G49" s="1017"/>
      <c r="H49" s="1017"/>
      <c r="I49" s="1017"/>
      <c r="J49" s="1017"/>
      <c r="K49" s="1017"/>
      <c r="L49" s="1018"/>
      <c r="O49"/>
      <c r="P49" s="13"/>
      <c r="Q49"/>
      <c r="R49"/>
      <c r="S49"/>
      <c r="T49" s="80"/>
      <c r="U49" s="81"/>
      <c r="V49" s="79"/>
      <c r="W49" s="610"/>
      <c r="X49" s="4"/>
      <c r="Y49" s="4"/>
      <c r="Z49" s="4"/>
    </row>
    <row r="50" spans="3:26" ht="21" customHeight="1" x14ac:dyDescent="0.35">
      <c r="C50" s="924" t="s">
        <v>92</v>
      </c>
      <c r="D50" s="924"/>
      <c r="E50" s="924"/>
      <c r="F50" s="924"/>
      <c r="G50" s="924"/>
      <c r="H50" s="924"/>
      <c r="I50" s="924"/>
      <c r="J50" s="924"/>
      <c r="K50" s="924"/>
      <c r="L50" s="924"/>
      <c r="O50"/>
      <c r="P50"/>
      <c r="Q50"/>
      <c r="R50"/>
      <c r="S50"/>
      <c r="T50" s="80"/>
      <c r="U50" s="81"/>
      <c r="V50" s="79"/>
      <c r="W50" s="610"/>
      <c r="X50" s="4"/>
      <c r="Y50" s="4"/>
      <c r="Z50" s="4"/>
    </row>
    <row r="51" spans="3:26" ht="15" x14ac:dyDescent="0.3">
      <c r="C51" s="946" t="s">
        <v>93</v>
      </c>
      <c r="D51" s="946"/>
      <c r="E51" s="946"/>
      <c r="F51" s="946"/>
      <c r="G51" s="946"/>
      <c r="H51" s="946"/>
      <c r="I51" s="946"/>
      <c r="J51" s="946"/>
      <c r="K51" s="946"/>
      <c r="L51" s="946"/>
      <c r="O51"/>
      <c r="P51"/>
      <c r="Q51"/>
      <c r="R51"/>
      <c r="S51"/>
      <c r="V51" s="610"/>
      <c r="W51" s="610"/>
    </row>
    <row r="52" spans="3:26" ht="15" x14ac:dyDescent="0.3">
      <c r="C52" s="947" t="s">
        <v>95</v>
      </c>
      <c r="D52" s="948"/>
      <c r="E52" s="948"/>
      <c r="F52" s="948"/>
      <c r="G52" s="948"/>
      <c r="H52" s="948"/>
      <c r="I52" s="948"/>
      <c r="J52" s="948"/>
      <c r="K52" s="948"/>
      <c r="L52" s="949"/>
      <c r="O52"/>
      <c r="P52"/>
      <c r="Q52"/>
      <c r="R52"/>
      <c r="S52"/>
      <c r="T52" s="4"/>
      <c r="U52" s="4"/>
      <c r="V52" s="24"/>
      <c r="W52" s="24"/>
      <c r="X52" s="4"/>
      <c r="Y52" s="4"/>
      <c r="Z52" s="4"/>
    </row>
    <row r="53" spans="3:26" ht="20.399999999999999" x14ac:dyDescent="0.45">
      <c r="C53" s="950" t="s">
        <v>97</v>
      </c>
      <c r="D53" s="951"/>
      <c r="E53" s="951"/>
      <c r="F53" s="951"/>
      <c r="G53" s="951"/>
      <c r="H53" s="951"/>
      <c r="I53" s="951"/>
      <c r="J53" s="951"/>
      <c r="K53" s="951"/>
      <c r="L53" s="952"/>
      <c r="O53" s="139" t="s">
        <v>154</v>
      </c>
      <c r="P53" s="327"/>
      <c r="Q53" s="328"/>
      <c r="R53"/>
      <c r="S53"/>
      <c r="V53" s="610"/>
      <c r="W53" s="610"/>
    </row>
    <row r="54" spans="3:26" ht="18.600000000000001" x14ac:dyDescent="0.35">
      <c r="C54" s="975" t="s">
        <v>99</v>
      </c>
      <c r="D54" s="976"/>
      <c r="E54" s="976"/>
      <c r="F54" s="976"/>
      <c r="G54" s="976"/>
      <c r="H54" s="976"/>
      <c r="I54" s="976"/>
      <c r="J54" s="976"/>
      <c r="K54" s="976"/>
      <c r="L54" s="977"/>
      <c r="O54" s="329" t="s">
        <v>96</v>
      </c>
      <c r="P54" s="330"/>
      <c r="Q54" s="466">
        <v>23</v>
      </c>
      <c r="R54"/>
      <c r="S54"/>
      <c r="V54" s="610"/>
      <c r="W54" s="610"/>
    </row>
    <row r="55" spans="3:26" ht="18.600000000000001" x14ac:dyDescent="0.35">
      <c r="C55" s="924" t="s">
        <v>101</v>
      </c>
      <c r="D55" s="924"/>
      <c r="E55" s="924"/>
      <c r="F55" s="924"/>
      <c r="G55" s="924"/>
      <c r="H55" s="924"/>
      <c r="I55" s="924"/>
      <c r="J55" s="924"/>
      <c r="K55" s="924"/>
      <c r="L55" s="924"/>
      <c r="O55" s="329" t="s">
        <v>98</v>
      </c>
      <c r="P55" s="330"/>
      <c r="Q55" s="331">
        <v>14.6</v>
      </c>
      <c r="R55"/>
      <c r="S55"/>
      <c r="V55" s="610"/>
      <c r="W55" s="610"/>
    </row>
    <row r="56" spans="3:26" ht="18" x14ac:dyDescent="0.35">
      <c r="C56" s="924" t="s">
        <v>103</v>
      </c>
      <c r="D56" s="924"/>
      <c r="E56" s="924"/>
      <c r="F56" s="924"/>
      <c r="G56" s="924"/>
      <c r="H56" s="924"/>
      <c r="I56" s="924"/>
      <c r="J56" s="924"/>
      <c r="K56" s="924"/>
      <c r="L56" s="924"/>
      <c r="O56" s="329" t="s">
        <v>100</v>
      </c>
      <c r="P56" s="330"/>
      <c r="Q56" s="466">
        <v>0</v>
      </c>
      <c r="R56"/>
      <c r="S56"/>
      <c r="V56" s="610"/>
      <c r="W56" s="610"/>
    </row>
    <row r="57" spans="3:26" ht="18" x14ac:dyDescent="0.35">
      <c r="C57" s="924" t="s">
        <v>155</v>
      </c>
      <c r="D57" s="924"/>
      <c r="E57" s="924"/>
      <c r="F57" s="924"/>
      <c r="G57" s="924"/>
      <c r="H57" s="924"/>
      <c r="I57" s="924"/>
      <c r="J57" s="924"/>
      <c r="K57" s="924"/>
      <c r="L57" s="924"/>
      <c r="O57" s="329" t="s">
        <v>102</v>
      </c>
      <c r="P57" s="330"/>
      <c r="Q57" s="466">
        <v>28</v>
      </c>
      <c r="R57"/>
      <c r="S57"/>
      <c r="V57" s="610"/>
      <c r="W57" s="610"/>
    </row>
    <row r="58" spans="3:26" ht="18" x14ac:dyDescent="0.35">
      <c r="C58" s="924" t="s">
        <v>107</v>
      </c>
      <c r="D58" s="924"/>
      <c r="E58" s="924"/>
      <c r="F58" s="924"/>
      <c r="G58" s="924"/>
      <c r="H58" s="924"/>
      <c r="I58" s="924"/>
      <c r="J58" s="924"/>
      <c r="K58" s="924"/>
      <c r="L58" s="924"/>
      <c r="M58" s="17"/>
      <c r="N58" s="17"/>
      <c r="O58" s="332" t="s">
        <v>104</v>
      </c>
      <c r="P58" s="330"/>
      <c r="Q58" s="466">
        <v>19</v>
      </c>
      <c r="R58"/>
      <c r="S58"/>
      <c r="V58" s="610"/>
      <c r="W58" s="610"/>
    </row>
    <row r="59" spans="3:26" s="17" customFormat="1" ht="18" x14ac:dyDescent="0.35">
      <c r="C59" s="924" t="s">
        <v>108</v>
      </c>
      <c r="D59" s="924"/>
      <c r="E59" s="924"/>
      <c r="F59" s="924"/>
      <c r="G59" s="924"/>
      <c r="H59" s="924"/>
      <c r="I59" s="924"/>
      <c r="J59" s="924"/>
      <c r="K59" s="924"/>
      <c r="L59" s="924"/>
      <c r="M59"/>
      <c r="N59"/>
      <c r="O59" s="333" t="s">
        <v>156</v>
      </c>
      <c r="P59" s="334"/>
      <c r="Q59" s="335">
        <f>23</f>
        <v>23</v>
      </c>
      <c r="R59"/>
      <c r="S59"/>
      <c r="T59" s="18"/>
      <c r="U59" s="19"/>
      <c r="V59" s="22"/>
      <c r="W59" s="22"/>
    </row>
    <row r="60" spans="3:26" ht="15" x14ac:dyDescent="0.3">
      <c r="C60" s="924" t="s">
        <v>109</v>
      </c>
      <c r="D60" s="924"/>
      <c r="E60" s="924"/>
      <c r="F60" s="924"/>
      <c r="G60" s="924"/>
      <c r="H60" s="924"/>
      <c r="I60" s="924"/>
      <c r="J60" s="924"/>
      <c r="K60" s="924"/>
      <c r="L60" s="924"/>
      <c r="O60"/>
      <c r="P60"/>
      <c r="Q60"/>
      <c r="R60"/>
      <c r="S60"/>
      <c r="V60" s="610"/>
      <c r="W60" s="610"/>
    </row>
    <row r="61" spans="3:26" ht="15" x14ac:dyDescent="0.3">
      <c r="C61" s="924" t="s">
        <v>110</v>
      </c>
      <c r="D61" s="924"/>
      <c r="E61" s="924"/>
      <c r="F61" s="924"/>
      <c r="G61" s="924"/>
      <c r="H61" s="924"/>
      <c r="I61" s="924"/>
      <c r="J61" s="924"/>
      <c r="K61" s="924"/>
      <c r="L61" s="924"/>
      <c r="O61"/>
      <c r="P61"/>
      <c r="Q61"/>
      <c r="R61"/>
      <c r="S61"/>
      <c r="V61" s="610"/>
      <c r="W61" s="610"/>
    </row>
    <row r="62" spans="3:26" ht="15" x14ac:dyDescent="0.3">
      <c r="C62" s="1019" t="s">
        <v>157</v>
      </c>
      <c r="D62" s="924"/>
      <c r="E62" s="924"/>
      <c r="F62" s="924"/>
      <c r="G62" s="924"/>
      <c r="H62" s="924"/>
      <c r="I62" s="924"/>
      <c r="J62" s="924"/>
      <c r="K62" s="924"/>
      <c r="L62" s="924"/>
      <c r="M62" s="7"/>
      <c r="N62" s="7"/>
      <c r="O62" s="7"/>
      <c r="P62" s="7"/>
      <c r="Q62" s="7"/>
      <c r="R62" s="7"/>
      <c r="S62"/>
      <c r="V62" s="610"/>
      <c r="W62" s="610"/>
    </row>
    <row r="63" spans="3:26" ht="18" x14ac:dyDescent="0.35">
      <c r="C63" s="65"/>
      <c r="D63" s="65"/>
      <c r="E63" s="65"/>
      <c r="F63" s="65"/>
      <c r="G63" s="64"/>
      <c r="H63" s="64"/>
      <c r="I63" s="610"/>
      <c r="O63"/>
      <c r="P63"/>
      <c r="Q63"/>
      <c r="R63"/>
      <c r="S63"/>
      <c r="V63" s="610"/>
      <c r="W63" s="610"/>
    </row>
    <row r="64" spans="3:26" x14ac:dyDescent="0.3">
      <c r="I64" s="610"/>
      <c r="O64"/>
      <c r="P64"/>
      <c r="Q64"/>
      <c r="R64"/>
      <c r="S64"/>
      <c r="V64" s="610"/>
      <c r="W64" s="610"/>
    </row>
    <row r="65" spans="15:27" ht="22.2" customHeight="1" x14ac:dyDescent="0.3">
      <c r="O65"/>
      <c r="P65"/>
      <c r="Q65"/>
      <c r="R65"/>
      <c r="S65"/>
      <c r="V65" s="610"/>
      <c r="W65" s="610"/>
      <c r="Y65" s="1004"/>
      <c r="Z65" s="1004"/>
      <c r="AA65" s="1004"/>
    </row>
    <row r="66" spans="15:27" x14ac:dyDescent="0.3">
      <c r="O66"/>
      <c r="P66"/>
      <c r="Q66"/>
      <c r="R66"/>
      <c r="S66"/>
      <c r="V66" s="610"/>
      <c r="W66" s="610"/>
    </row>
    <row r="67" spans="15:27" x14ac:dyDescent="0.3">
      <c r="O67"/>
      <c r="P67"/>
      <c r="Q67"/>
      <c r="R67"/>
      <c r="S67"/>
      <c r="V67" s="610"/>
      <c r="W67" s="610"/>
    </row>
    <row r="68" spans="15:27" x14ac:dyDescent="0.3">
      <c r="O68"/>
      <c r="P68"/>
      <c r="Q68"/>
      <c r="R68"/>
      <c r="S68"/>
      <c r="V68" s="610"/>
      <c r="W68" s="610"/>
    </row>
    <row r="69" spans="15:27" x14ac:dyDescent="0.3">
      <c r="O69"/>
      <c r="P69"/>
      <c r="Q69"/>
      <c r="R69"/>
      <c r="S69"/>
      <c r="V69" s="610"/>
      <c r="W69" s="610"/>
    </row>
    <row r="70" spans="15:27" x14ac:dyDescent="0.3">
      <c r="O70"/>
      <c r="P70"/>
      <c r="Q70"/>
      <c r="R70"/>
      <c r="S70"/>
      <c r="V70" s="610"/>
      <c r="W70" s="610"/>
    </row>
    <row r="71" spans="15:27" x14ac:dyDescent="0.3">
      <c r="O71"/>
      <c r="P71"/>
      <c r="Q71"/>
      <c r="R71"/>
      <c r="S71"/>
      <c r="V71" s="610"/>
      <c r="W71" s="610"/>
    </row>
    <row r="72" spans="15:27" x14ac:dyDescent="0.3">
      <c r="O72"/>
      <c r="P72"/>
      <c r="Q72"/>
      <c r="R72"/>
      <c r="S72"/>
      <c r="V72" s="610"/>
      <c r="W72" s="610"/>
    </row>
    <row r="73" spans="15:27" x14ac:dyDescent="0.3">
      <c r="O73"/>
      <c r="P73"/>
      <c r="Q73"/>
      <c r="R73"/>
      <c r="S73"/>
      <c r="V73" s="610"/>
      <c r="W73" s="610"/>
    </row>
    <row r="74" spans="15:27" x14ac:dyDescent="0.3">
      <c r="O74"/>
      <c r="P74"/>
      <c r="Q74"/>
      <c r="R74"/>
      <c r="S74"/>
      <c r="V74" s="610"/>
      <c r="W74" s="610"/>
    </row>
    <row r="75" spans="15:27" x14ac:dyDescent="0.3">
      <c r="O75"/>
      <c r="P75"/>
      <c r="Q75"/>
      <c r="R75"/>
      <c r="S75"/>
      <c r="V75" s="610"/>
      <c r="W75" s="610"/>
    </row>
    <row r="76" spans="15:27" x14ac:dyDescent="0.3">
      <c r="O76"/>
      <c r="P76"/>
      <c r="Q76"/>
      <c r="R76"/>
      <c r="S76"/>
      <c r="V76" s="610"/>
      <c r="W76" s="610"/>
    </row>
    <row r="77" spans="15:27" x14ac:dyDescent="0.3">
      <c r="O77"/>
      <c r="P77"/>
      <c r="Q77"/>
      <c r="R77"/>
      <c r="S77"/>
      <c r="V77" s="610"/>
      <c r="W77" s="610"/>
    </row>
    <row r="78" spans="15:27" x14ac:dyDescent="0.3">
      <c r="O78"/>
      <c r="P78"/>
      <c r="Q78"/>
      <c r="R78"/>
      <c r="S78"/>
      <c r="V78" s="610"/>
      <c r="W78" s="610"/>
    </row>
    <row r="79" spans="15:27" x14ac:dyDescent="0.3">
      <c r="O79"/>
      <c r="P79"/>
      <c r="Q79"/>
      <c r="R79"/>
      <c r="S79"/>
      <c r="V79" s="610"/>
      <c r="W79" s="610"/>
    </row>
    <row r="80" spans="15:27" x14ac:dyDescent="0.3">
      <c r="O80"/>
      <c r="P80"/>
      <c r="Q80"/>
      <c r="R80"/>
      <c r="S80"/>
      <c r="V80" s="610"/>
      <c r="W80" s="610"/>
    </row>
    <row r="81" spans="15:19" x14ac:dyDescent="0.3">
      <c r="O81"/>
      <c r="P81"/>
      <c r="Q81"/>
      <c r="R81"/>
      <c r="S81"/>
    </row>
    <row r="82" spans="15:19" x14ac:dyDescent="0.3">
      <c r="O82"/>
      <c r="P82"/>
      <c r="Q82"/>
      <c r="R82"/>
      <c r="S82"/>
    </row>
    <row r="83" spans="15:19" x14ac:dyDescent="0.3">
      <c r="O83"/>
      <c r="P83"/>
      <c r="Q83"/>
      <c r="R83"/>
      <c r="S83"/>
    </row>
    <row r="84" spans="15:19" x14ac:dyDescent="0.3">
      <c r="O84"/>
      <c r="P84"/>
      <c r="Q84"/>
      <c r="R84"/>
      <c r="S84"/>
    </row>
    <row r="85" spans="15:19" x14ac:dyDescent="0.3">
      <c r="O85"/>
      <c r="P85"/>
      <c r="Q85"/>
      <c r="R85"/>
      <c r="S85"/>
    </row>
    <row r="86" spans="15:19" x14ac:dyDescent="0.3">
      <c r="O86"/>
      <c r="P86"/>
      <c r="Q86"/>
      <c r="R86"/>
      <c r="S86"/>
    </row>
    <row r="87" spans="15:19" x14ac:dyDescent="0.3">
      <c r="O87"/>
      <c r="P87"/>
      <c r="Q87"/>
      <c r="R87"/>
      <c r="S87"/>
    </row>
    <row r="88" spans="15:19" x14ac:dyDescent="0.3">
      <c r="O88"/>
      <c r="P88"/>
      <c r="Q88"/>
      <c r="R88"/>
      <c r="S88"/>
    </row>
    <row r="89" spans="15:19" x14ac:dyDescent="0.3">
      <c r="O89"/>
      <c r="P89"/>
      <c r="Q89"/>
      <c r="R89"/>
      <c r="S89"/>
    </row>
    <row r="90" spans="15:19" x14ac:dyDescent="0.3">
      <c r="O90"/>
      <c r="P90"/>
      <c r="Q90"/>
      <c r="R90"/>
    </row>
  </sheetData>
  <sheetProtection selectLockedCells="1"/>
  <mergeCells count="48">
    <mergeCell ref="W1:AA1"/>
    <mergeCell ref="C61:L61"/>
    <mergeCell ref="C54:L54"/>
    <mergeCell ref="C55:L55"/>
    <mergeCell ref="C56:L56"/>
    <mergeCell ref="C57:L57"/>
    <mergeCell ref="C58:L58"/>
    <mergeCell ref="C8:F8"/>
    <mergeCell ref="C9:F9"/>
    <mergeCell ref="T3:U3"/>
    <mergeCell ref="G12:G13"/>
    <mergeCell ref="I12:I13"/>
    <mergeCell ref="L12:L13"/>
    <mergeCell ref="M12:M13"/>
    <mergeCell ref="N12:N13"/>
    <mergeCell ref="K12:K13"/>
    <mergeCell ref="Y65:AA65"/>
    <mergeCell ref="W22:W23"/>
    <mergeCell ref="C12:C13"/>
    <mergeCell ref="O12:O13"/>
    <mergeCell ref="J12:J13"/>
    <mergeCell ref="D12:D13"/>
    <mergeCell ref="E12:E13"/>
    <mergeCell ref="F12:F13"/>
    <mergeCell ref="C49:L49"/>
    <mergeCell ref="C50:L50"/>
    <mergeCell ref="C62:L62"/>
    <mergeCell ref="C51:L51"/>
    <mergeCell ref="C52:L52"/>
    <mergeCell ref="C53:L53"/>
    <mergeCell ref="C59:L59"/>
    <mergeCell ref="C60:L60"/>
    <mergeCell ref="M1:Q1"/>
    <mergeCell ref="C1:K1"/>
    <mergeCell ref="B43:B47"/>
    <mergeCell ref="A15:A26"/>
    <mergeCell ref="A28:A47"/>
    <mergeCell ref="B15:B18"/>
    <mergeCell ref="B20:B23"/>
    <mergeCell ref="B25:B26"/>
    <mergeCell ref="B28:B36"/>
    <mergeCell ref="B38:B41"/>
    <mergeCell ref="I2:J5"/>
    <mergeCell ref="L10:N11"/>
    <mergeCell ref="Q9:S9"/>
    <mergeCell ref="Q10:S10"/>
    <mergeCell ref="Q11:S11"/>
    <mergeCell ref="O10:O11"/>
  </mergeCells>
  <phoneticPr fontId="0" type="noConversion"/>
  <dataValidations count="1">
    <dataValidation type="list" allowBlank="1" showInputMessage="1" showErrorMessage="1" sqref="D38:D41 D43:D47 D21:D23 K10 D16:D18 D29:D36 D25:D26">
      <formula1>Fuel</formula1>
    </dataValidation>
  </dataValidations>
  <printOptions horizontalCentered="1"/>
  <pageMargins left="0.7" right="0.7" top="0.67" bottom="0.31" header="0.31" footer="0.3"/>
  <pageSetup paperSize="5" scale="45" orientation="landscape"/>
  <headerFooter alignWithMargins="0">
    <oddHeader>&amp;L&amp;14&amp;F&amp;R&amp;14&amp;D</oddHeader>
    <oddFooter>&amp;L&amp;14Campus Planning&amp;R&amp;A</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1"/>
  <sheetViews>
    <sheetView zoomScale="65" zoomScaleNormal="65" zoomScaleSheetLayoutView="100" zoomScalePageLayoutView="65" workbookViewId="0">
      <selection activeCell="AK23" sqref="AK23"/>
    </sheetView>
  </sheetViews>
  <sheetFormatPr defaultColWidth="8.6640625" defaultRowHeight="14.4" x14ac:dyDescent="0.3"/>
  <cols>
    <col min="1" max="1" width="8.6640625" customWidth="1"/>
    <col min="2" max="2" width="65.6640625" customWidth="1"/>
    <col min="3" max="3" width="15.109375" customWidth="1"/>
    <col min="4" max="4" width="13.6640625" customWidth="1"/>
    <col min="5" max="5" width="14.6640625" customWidth="1"/>
    <col min="6" max="6" width="18" customWidth="1"/>
    <col min="7" max="7" width="19.44140625" style="21" customWidth="1"/>
    <col min="8" max="8" width="19.44140625" style="125" customWidth="1"/>
    <col min="9" max="12" width="15.6640625" customWidth="1"/>
    <col min="13" max="13" width="14" customWidth="1"/>
    <col min="14" max="14" width="13.44140625" customWidth="1"/>
    <col min="15" max="15" width="17.33203125" customWidth="1"/>
    <col min="16" max="16" width="18.109375" style="1" customWidth="1"/>
    <col min="17" max="17" width="6.33203125" style="1" customWidth="1"/>
    <col min="18" max="18" width="19.33203125" style="20" customWidth="1"/>
    <col min="19" max="19" width="8.44140625" style="20" customWidth="1"/>
    <col min="20" max="20" width="19.44140625" style="20" customWidth="1"/>
    <col min="21" max="21" width="15" hidden="1" customWidth="1"/>
    <col min="22" max="22" width="15.33203125" hidden="1" customWidth="1"/>
    <col min="23" max="23" width="20" style="21" hidden="1" customWidth="1"/>
    <col min="24" max="24" width="12.44140625" style="21" customWidth="1"/>
    <col min="25" max="25" width="17.44140625" bestFit="1" customWidth="1"/>
  </cols>
  <sheetData>
    <row r="1" spans="1:37" ht="33" customHeight="1" thickBot="1" x14ac:dyDescent="0.45">
      <c r="B1" s="925" t="s">
        <v>0</v>
      </c>
      <c r="C1" s="926"/>
      <c r="D1" s="926"/>
      <c r="E1" s="926"/>
      <c r="F1" s="926"/>
      <c r="G1" s="926"/>
      <c r="H1" s="926"/>
      <c r="I1" s="979"/>
      <c r="J1" s="13"/>
      <c r="K1" s="13"/>
      <c r="L1" s="13"/>
      <c r="M1" s="13"/>
      <c r="N1" s="925" t="s">
        <v>239</v>
      </c>
      <c r="O1" s="926"/>
      <c r="P1" s="926"/>
      <c r="Q1" s="926"/>
      <c r="R1" s="979"/>
      <c r="S1" s="13"/>
      <c r="T1" s="13"/>
      <c r="W1" s="610"/>
      <c r="X1" s="953" t="s">
        <v>248</v>
      </c>
      <c r="Y1" s="954"/>
      <c r="Z1" s="954"/>
      <c r="AA1" s="954"/>
      <c r="AB1" s="955"/>
    </row>
    <row r="2" spans="1:37" s="10" customFormat="1" ht="19.95" customHeight="1" x14ac:dyDescent="0.4">
      <c r="B2" s="734" t="s">
        <v>1</v>
      </c>
      <c r="C2" s="735"/>
      <c r="D2" s="735"/>
      <c r="E2" s="735"/>
      <c r="F2" s="735"/>
      <c r="G2" s="960" t="s">
        <v>2</v>
      </c>
      <c r="H2" s="1070"/>
      <c r="I2" s="763">
        <f>'Passenger Cars'!J2</f>
        <v>1.5091493431777381</v>
      </c>
      <c r="J2" s="13"/>
      <c r="K2" s="13"/>
      <c r="L2" s="13"/>
      <c r="M2" s="13"/>
      <c r="N2" s="734" t="s">
        <v>1</v>
      </c>
      <c r="O2" s="735"/>
      <c r="P2" s="743"/>
      <c r="Q2" s="743"/>
      <c r="R2" s="744">
        <f>'Passenger Cars'!S2</f>
        <v>1.5091493431777381</v>
      </c>
      <c r="S2" s="13"/>
      <c r="T2" s="13"/>
      <c r="U2" s="11" t="s">
        <v>113</v>
      </c>
      <c r="V2" s="11"/>
      <c r="W2" s="23"/>
      <c r="X2" s="647" t="s">
        <v>1</v>
      </c>
      <c r="Y2" s="648"/>
      <c r="Z2" s="649"/>
      <c r="AA2" s="649"/>
      <c r="AB2" s="642">
        <f>'Enter Your Data'!I3</f>
        <v>1.65</v>
      </c>
    </row>
    <row r="3" spans="1:37" s="10" customFormat="1" ht="21" x14ac:dyDescent="0.4">
      <c r="B3" s="737" t="s">
        <v>3</v>
      </c>
      <c r="C3" s="738"/>
      <c r="D3" s="738"/>
      <c r="E3" s="738"/>
      <c r="F3" s="738"/>
      <c r="G3" s="962"/>
      <c r="H3" s="1071"/>
      <c r="I3" s="763">
        <f>'Passenger Cars'!J3</f>
        <v>2.4965363879402309</v>
      </c>
      <c r="J3" s="13"/>
      <c r="K3" s="13"/>
      <c r="L3" s="13"/>
      <c r="M3" s="13"/>
      <c r="N3" s="737" t="s">
        <v>221</v>
      </c>
      <c r="O3" s="738"/>
      <c r="P3" s="745"/>
      <c r="Q3" s="745"/>
      <c r="R3" s="746">
        <f>'Passenger Cars'!S3</f>
        <v>2.4965363879402309</v>
      </c>
      <c r="S3" s="13"/>
      <c r="T3" s="13"/>
      <c r="U3" s="1024"/>
      <c r="V3" s="1024"/>
      <c r="W3" s="27"/>
      <c r="X3" s="650" t="s">
        <v>221</v>
      </c>
      <c r="Y3" s="651"/>
      <c r="Z3" s="652"/>
      <c r="AA3" s="652"/>
      <c r="AB3" s="643">
        <f>'Enter Your Data'!I4</f>
        <v>2.2799999999999998</v>
      </c>
    </row>
    <row r="4" spans="1:37" s="10" customFormat="1" ht="21" x14ac:dyDescent="0.4">
      <c r="B4" s="737" t="s">
        <v>4</v>
      </c>
      <c r="C4" s="738"/>
      <c r="D4" s="738"/>
      <c r="E4" s="738"/>
      <c r="F4" s="738"/>
      <c r="G4" s="962"/>
      <c r="H4" s="1071"/>
      <c r="I4" s="763">
        <f>'Passenger Cars'!J4</f>
        <v>2.3322905729441636</v>
      </c>
      <c r="J4" s="13"/>
      <c r="K4" s="13"/>
      <c r="L4" s="13"/>
      <c r="M4" s="13"/>
      <c r="N4" s="737" t="s">
        <v>4</v>
      </c>
      <c r="O4" s="738"/>
      <c r="P4" s="745"/>
      <c r="Q4" s="745"/>
      <c r="R4" s="746">
        <f>'Passenger Cars'!S4</f>
        <v>2.3322905729441636</v>
      </c>
      <c r="S4" s="13"/>
      <c r="T4" s="13"/>
      <c r="U4" s="611"/>
      <c r="V4" s="611"/>
      <c r="W4" s="27"/>
      <c r="X4" s="650" t="s">
        <v>4</v>
      </c>
      <c r="Y4" s="651"/>
      <c r="Z4" s="652"/>
      <c r="AA4" s="652"/>
      <c r="AB4" s="643">
        <f>'Enter Your Data'!I5</f>
        <v>2.13</v>
      </c>
    </row>
    <row r="5" spans="1:37" s="10" customFormat="1" ht="21" customHeight="1" x14ac:dyDescent="0.4">
      <c r="B5" s="737" t="s">
        <v>5</v>
      </c>
      <c r="C5" s="738"/>
      <c r="D5" s="738"/>
      <c r="E5" s="738"/>
      <c r="F5" s="738"/>
      <c r="G5" s="962"/>
      <c r="H5" s="1071"/>
      <c r="I5" s="763">
        <f>'Passenger Cars'!J5</f>
        <v>5.904089563058653</v>
      </c>
      <c r="J5" s="13"/>
      <c r="K5" s="13"/>
      <c r="L5" s="13"/>
      <c r="M5" s="13"/>
      <c r="N5" s="737" t="s">
        <v>314</v>
      </c>
      <c r="O5" s="738"/>
      <c r="P5" s="745"/>
      <c r="Q5" s="745"/>
      <c r="R5" s="746">
        <f>'Passenger Cars'!S5</f>
        <v>4.9999999999999996E-2</v>
      </c>
      <c r="S5" s="13"/>
      <c r="T5" s="13"/>
      <c r="X5" s="650" t="s">
        <v>6</v>
      </c>
      <c r="Y5" s="651"/>
      <c r="Z5" s="652"/>
      <c r="AA5" s="652"/>
      <c r="AB5" s="643">
        <f>'Enter Your Data'!I6</f>
        <v>0.05</v>
      </c>
      <c r="AC5" s="4"/>
      <c r="AD5" s="4"/>
      <c r="AE5" s="4"/>
      <c r="AF5" s="4"/>
      <c r="AG5" s="4"/>
      <c r="AH5" s="4"/>
      <c r="AI5" s="4"/>
      <c r="AJ5" s="4"/>
      <c r="AK5" s="4"/>
    </row>
    <row r="6" spans="1:37" s="61" customFormat="1" ht="21" customHeight="1" thickBot="1" x14ac:dyDescent="0.45">
      <c r="A6" s="10"/>
      <c r="B6" s="740" t="s">
        <v>7</v>
      </c>
      <c r="C6" s="741"/>
      <c r="D6" s="741"/>
      <c r="E6" s="741"/>
      <c r="F6" s="741"/>
      <c r="G6" s="760"/>
      <c r="H6" s="764"/>
      <c r="I6" s="765" t="s">
        <v>8</v>
      </c>
      <c r="J6" s="13"/>
      <c r="K6" s="13"/>
      <c r="L6" s="13"/>
      <c r="M6" s="13"/>
      <c r="N6" s="1072" t="s">
        <v>9</v>
      </c>
      <c r="O6" s="1073"/>
      <c r="P6" s="1073"/>
      <c r="Q6" s="1073"/>
      <c r="R6" s="762">
        <f>'Passenger Cars'!S6</f>
        <v>0.1751955359958057</v>
      </c>
      <c r="S6" s="13"/>
      <c r="T6" s="13"/>
      <c r="X6" s="653" t="s">
        <v>9</v>
      </c>
      <c r="Y6" s="654"/>
      <c r="Z6" s="655"/>
      <c r="AA6" s="655"/>
      <c r="AB6" s="646">
        <f>'Enter Your Data'!I7</f>
        <v>0.16</v>
      </c>
      <c r="AC6" s="4"/>
      <c r="AD6" s="4"/>
      <c r="AE6" s="4"/>
      <c r="AF6" s="4"/>
      <c r="AG6" s="4"/>
      <c r="AH6" s="4"/>
      <c r="AI6" s="4"/>
      <c r="AJ6" s="4"/>
      <c r="AK6" s="4"/>
    </row>
    <row r="7" spans="1:37" s="61" customFormat="1" ht="21" customHeight="1" thickBot="1" x14ac:dyDescent="0.35">
      <c r="A7" s="10"/>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4"/>
      <c r="AD7" s="4"/>
      <c r="AE7" s="4"/>
      <c r="AF7" s="4"/>
      <c r="AG7" s="4"/>
      <c r="AH7" s="4"/>
      <c r="AI7" s="4"/>
      <c r="AJ7" s="4"/>
      <c r="AK7" s="4"/>
    </row>
    <row r="8" spans="1:37" s="61" customFormat="1" ht="21" customHeight="1" thickBot="1" x14ac:dyDescent="0.35">
      <c r="A8" s="10"/>
      <c r="B8" s="1074" t="s">
        <v>10</v>
      </c>
      <c r="C8" s="1075"/>
      <c r="D8" s="1075"/>
      <c r="E8" s="1075"/>
      <c r="F8" s="639">
        <f>'Enter Your Data'!F4</f>
        <v>5000</v>
      </c>
      <c r="G8" s="13"/>
      <c r="H8" s="13"/>
      <c r="I8" s="13"/>
      <c r="J8" s="13"/>
      <c r="K8" s="13"/>
      <c r="L8" s="13"/>
      <c r="M8" s="13"/>
      <c r="N8" s="13"/>
      <c r="O8" s="13"/>
      <c r="P8" s="13"/>
      <c r="Q8" s="13"/>
      <c r="R8" s="13"/>
      <c r="S8" s="13"/>
      <c r="T8" s="13"/>
      <c r="X8" s="4"/>
      <c r="Y8" s="4"/>
      <c r="Z8" s="4"/>
      <c r="AA8" s="4"/>
      <c r="AB8" s="4"/>
      <c r="AC8" s="4"/>
      <c r="AD8" s="4"/>
      <c r="AE8" s="4"/>
      <c r="AF8" s="4"/>
      <c r="AG8" s="4"/>
      <c r="AH8" s="4"/>
      <c r="AI8" s="4"/>
      <c r="AJ8" s="4"/>
      <c r="AK8" s="4"/>
    </row>
    <row r="9" spans="1:37" s="61" customFormat="1" ht="21" customHeight="1" thickBot="1" x14ac:dyDescent="0.55000000000000004">
      <c r="A9" s="10"/>
      <c r="B9" s="1076" t="s">
        <v>13</v>
      </c>
      <c r="C9" s="1077"/>
      <c r="D9" s="1077"/>
      <c r="E9" s="1077"/>
      <c r="F9" s="699">
        <f>'Enter Your Data'!F6</f>
        <v>13.698630136986301</v>
      </c>
      <c r="G9" s="13"/>
      <c r="H9" s="13"/>
      <c r="I9" s="13"/>
      <c r="J9" s="13"/>
      <c r="K9" s="13"/>
      <c r="L9" s="13"/>
      <c r="M9" s="13"/>
      <c r="N9" s="13"/>
      <c r="O9" s="13"/>
      <c r="P9" s="13"/>
      <c r="Q9" s="13"/>
      <c r="R9" s="1068" t="s">
        <v>11</v>
      </c>
      <c r="S9" s="1069"/>
      <c r="T9" s="1069"/>
      <c r="U9" s="537"/>
      <c r="V9" s="537"/>
      <c r="W9" s="538" t="s">
        <v>12</v>
      </c>
      <c r="X9" s="4"/>
      <c r="Y9" s="4"/>
      <c r="Z9" s="4"/>
      <c r="AA9" s="4"/>
      <c r="AB9" s="4"/>
      <c r="AC9" s="4"/>
      <c r="AD9" s="4"/>
      <c r="AE9" s="4"/>
      <c r="AF9" s="4"/>
      <c r="AG9" s="4"/>
      <c r="AH9" s="4"/>
      <c r="AI9" s="4"/>
      <c r="AJ9" s="4"/>
      <c r="AK9" s="4"/>
    </row>
    <row r="10" spans="1:37" s="10" customFormat="1" ht="19.95" customHeight="1" x14ac:dyDescent="0.35">
      <c r="G10" s="50"/>
      <c r="H10" s="50"/>
      <c r="I10" s="13"/>
      <c r="J10" s="13"/>
      <c r="K10" s="13"/>
      <c r="L10" s="13"/>
      <c r="M10" s="995" t="s">
        <v>292</v>
      </c>
      <c r="N10" s="996"/>
      <c r="O10" s="996"/>
      <c r="P10" s="969">
        <f>'Enter Your Data'!J19</f>
        <v>10</v>
      </c>
      <c r="Q10" s="13"/>
      <c r="R10" s="1042" t="s">
        <v>14</v>
      </c>
      <c r="S10" s="1043"/>
      <c r="T10" s="1043"/>
      <c r="U10" s="1044"/>
      <c r="V10" s="1044"/>
      <c r="W10" s="1045"/>
      <c r="X10" s="4"/>
      <c r="Y10" s="4"/>
      <c r="Z10" s="4"/>
      <c r="AA10" s="4"/>
      <c r="AB10" s="4"/>
      <c r="AC10" s="4"/>
      <c r="AD10" s="4"/>
      <c r="AE10" s="4"/>
      <c r="AF10" s="4"/>
      <c r="AG10" s="4"/>
      <c r="AH10" s="4"/>
      <c r="AI10" s="4"/>
      <c r="AJ10" s="4"/>
      <c r="AK10" s="4"/>
    </row>
    <row r="11" spans="1:37" s="10" customFormat="1" ht="21.6" thickBot="1" x14ac:dyDescent="0.45">
      <c r="B11" s="8"/>
      <c r="C11" s="8"/>
      <c r="D11" s="8"/>
      <c r="E11" s="8"/>
      <c r="F11" s="9"/>
      <c r="G11" s="50"/>
      <c r="H11" s="50"/>
      <c r="I11" s="13"/>
      <c r="J11" s="13"/>
      <c r="K11" s="13"/>
      <c r="L11" s="13"/>
      <c r="M11" s="1083"/>
      <c r="N11" s="1084"/>
      <c r="O11" s="1084"/>
      <c r="P11" s="1082"/>
      <c r="Q11" s="13"/>
      <c r="R11" s="1042" t="s">
        <v>15</v>
      </c>
      <c r="S11" s="1046"/>
      <c r="T11" s="1046"/>
      <c r="U11" s="636"/>
      <c r="V11" s="636"/>
      <c r="W11" s="637"/>
      <c r="X11" s="4"/>
      <c r="Y11" s="4"/>
      <c r="Z11" s="4"/>
      <c r="AA11" s="4"/>
      <c r="AB11" s="4"/>
      <c r="AC11" s="4"/>
      <c r="AD11" s="4"/>
      <c r="AE11" s="4"/>
      <c r="AF11" s="4"/>
      <c r="AG11" s="4"/>
      <c r="AH11" s="4"/>
      <c r="AI11" s="4"/>
      <c r="AJ11" s="4"/>
      <c r="AK11" s="4"/>
    </row>
    <row r="12" spans="1:37" ht="76.2" customHeight="1" x14ac:dyDescent="0.35">
      <c r="A12" s="1102"/>
      <c r="B12" s="1006" t="s">
        <v>301</v>
      </c>
      <c r="C12" s="1011" t="s">
        <v>158</v>
      </c>
      <c r="D12" s="1098" t="s">
        <v>159</v>
      </c>
      <c r="E12" s="1011" t="s">
        <v>160</v>
      </c>
      <c r="F12" s="922" t="s">
        <v>161</v>
      </c>
      <c r="G12" s="1062" t="s">
        <v>162</v>
      </c>
      <c r="H12" s="612" t="s">
        <v>163</v>
      </c>
      <c r="I12" s="1064" t="s">
        <v>164</v>
      </c>
      <c r="J12" s="1032" t="s">
        <v>25</v>
      </c>
      <c r="K12" s="1087" t="s">
        <v>165</v>
      </c>
      <c r="L12" s="1087" t="s">
        <v>285</v>
      </c>
      <c r="M12" s="1056" t="s">
        <v>119</v>
      </c>
      <c r="N12" s="1058" t="s">
        <v>28</v>
      </c>
      <c r="O12" s="1060" t="s">
        <v>29</v>
      </c>
      <c r="P12" s="1054" t="s">
        <v>166</v>
      </c>
      <c r="Q12" s="13"/>
      <c r="R12" s="539" t="s">
        <v>31</v>
      </c>
      <c r="S12" s="254"/>
      <c r="T12" s="218" t="s">
        <v>32</v>
      </c>
      <c r="U12" s="218" t="s">
        <v>33</v>
      </c>
      <c r="V12" s="218" t="s">
        <v>34</v>
      </c>
      <c r="W12" s="540" t="s">
        <v>35</v>
      </c>
      <c r="X12" s="66"/>
      <c r="Y12" s="66"/>
      <c r="Z12" s="66"/>
      <c r="AA12" s="66"/>
      <c r="AB12" s="66"/>
      <c r="AC12" s="66"/>
      <c r="AD12" s="66"/>
      <c r="AE12" s="66"/>
      <c r="AF12" s="66"/>
      <c r="AG12" s="66"/>
      <c r="AH12" s="66"/>
      <c r="AI12" s="66"/>
      <c r="AJ12" s="66"/>
      <c r="AK12" s="66"/>
    </row>
    <row r="13" spans="1:37" ht="21.6" thickBot="1" x14ac:dyDescent="0.45">
      <c r="A13" s="1102"/>
      <c r="B13" s="1103"/>
      <c r="C13" s="1097"/>
      <c r="D13" s="1099"/>
      <c r="E13" s="1099"/>
      <c r="F13" s="1092"/>
      <c r="G13" s="1063"/>
      <c r="H13" s="525"/>
      <c r="I13" s="1065"/>
      <c r="J13" s="1089"/>
      <c r="K13" s="1088"/>
      <c r="L13" s="1095"/>
      <c r="M13" s="1057"/>
      <c r="N13" s="1059"/>
      <c r="O13" s="1061"/>
      <c r="P13" s="1055"/>
      <c r="Q13" s="13"/>
      <c r="R13" s="173" t="s">
        <v>36</v>
      </c>
      <c r="S13" s="255"/>
      <c r="T13" s="217" t="s">
        <v>37</v>
      </c>
      <c r="U13" s="217"/>
      <c r="V13" s="217"/>
      <c r="W13" s="541" t="s">
        <v>37</v>
      </c>
      <c r="X13"/>
    </row>
    <row r="14" spans="1:37" ht="21" customHeight="1" x14ac:dyDescent="0.4">
      <c r="A14" s="1100" t="s">
        <v>167</v>
      </c>
      <c r="B14" s="520" t="s">
        <v>168</v>
      </c>
      <c r="C14" s="526" t="s">
        <v>42</v>
      </c>
      <c r="D14" s="444">
        <f>IF($C14="gasoline",$I$3,IF($C14="electric",$I$5, IF($C14="cng",$I$2, IF($C14="biodiesel",$I$4,IF($C14="bicycle",$I$6,IF($C14="diesel",$I$4))))))</f>
        <v>2.4965363879402309</v>
      </c>
      <c r="E14" s="336">
        <f>IF($C14="gasoline",$R40,IF($C14="electric",$R42,IF($C14="cng",$R41,IF($C14="biodiesel",$R44,IF($C14="diesel",$R43,IF($C14="bicycle",0))))))</f>
        <v>23</v>
      </c>
      <c r="F14" s="438">
        <v>21995</v>
      </c>
      <c r="G14" s="461">
        <f>+$F$8</f>
        <v>5000</v>
      </c>
      <c r="H14" s="439">
        <f>$F$9</f>
        <v>13.698630136986301</v>
      </c>
      <c r="I14" s="462">
        <v>17</v>
      </c>
      <c r="J14" s="278">
        <v>5</v>
      </c>
      <c r="K14" s="535">
        <f>(H14*D14)/I14</f>
        <v>2.0117134471718217</v>
      </c>
      <c r="L14" s="303">
        <f>K14*365</f>
        <v>734.27540821771493</v>
      </c>
      <c r="M14" s="445">
        <f>+(G14/I14)*P$10*$D14</f>
        <v>7342.754082177149</v>
      </c>
      <c r="N14" s="445">
        <f>+F14+M14</f>
        <v>29337.754082177147</v>
      </c>
      <c r="O14" s="446">
        <f>+N14/P$10</f>
        <v>2933.7754082177148</v>
      </c>
      <c r="P14" s="228">
        <f>+((P$10*(G14/I14)*$E14)/2000)</f>
        <v>33.823529411764703</v>
      </c>
      <c r="Q14" s="13"/>
      <c r="R14" s="803" t="e">
        <f>+#REF!-N14</f>
        <v>#REF!</v>
      </c>
      <c r="S14" s="804"/>
      <c r="T14" s="804"/>
      <c r="U14" s="217"/>
      <c r="V14" s="217"/>
      <c r="W14" s="541"/>
      <c r="X14" s="4"/>
      <c r="Y14" s="4"/>
      <c r="Z14" s="4"/>
      <c r="AA14" s="4"/>
      <c r="AB14" s="4"/>
      <c r="AC14" s="4"/>
      <c r="AD14" s="4"/>
      <c r="AE14" s="4"/>
      <c r="AF14" s="4"/>
      <c r="AG14" s="4"/>
      <c r="AH14" s="4"/>
      <c r="AI14" s="4"/>
      <c r="AJ14" s="4"/>
      <c r="AK14" s="4"/>
    </row>
    <row r="15" spans="1:37" ht="21" customHeight="1" thickBot="1" x14ac:dyDescent="0.4">
      <c r="A15" s="1101"/>
      <c r="B15" s="597" t="s">
        <v>169</v>
      </c>
      <c r="C15" s="523" t="s">
        <v>53</v>
      </c>
      <c r="D15" s="587" t="str">
        <f>IF($C15="gasoline",$I$3,IF($C15="electric",$I$5, IF($C15="cng",$I$2, IF($C15="biodiesel",$I$4,IF($C15="plug-in",$I$6,IF($C15="diesel",$I$4))))))</f>
        <v>See EV</v>
      </c>
      <c r="E15" s="588">
        <f>IF($C15="gasoline",$R40,IF($C15="electric",$R42,IF($C15="cng",$R41,IF($C15="biodiesel",$R44,IF($C15="diesel",$R43,IF($C15="plug-in",$R45))))))</f>
        <v>23</v>
      </c>
      <c r="F15" s="305">
        <f>41995-'Enter Your Data'!J14</f>
        <v>34495</v>
      </c>
      <c r="G15" s="362">
        <f>+$F$8</f>
        <v>5000</v>
      </c>
      <c r="H15" s="395">
        <f>$F$9</f>
        <v>13.698630136986301</v>
      </c>
      <c r="I15" s="285">
        <v>84</v>
      </c>
      <c r="J15" s="124">
        <v>10</v>
      </c>
      <c r="K15" s="533">
        <f>IF(H15&gt;'EV Details'!D14,((('EV Details'!D14/'EV Details'!E14)*'Crossovers and Special Purpose'!$I$15)+((('Crossovers and Special Purpose'!H15-'EV Details'!D14)/'EV Details'!F14)*'Crossovers and Special Purpose'!I3)),('Crossovers and Special Purpose'!H15/'EV Details'!E14)*'Crossovers and Special Purpose'!$I$5)</f>
        <v>0.96283260976168505</v>
      </c>
      <c r="L15" s="698">
        <f t="shared" ref="L15:L24" si="0">K15*365</f>
        <v>351.43390256301507</v>
      </c>
      <c r="M15" s="577">
        <f>K15*365*10</f>
        <v>3514.3390256301509</v>
      </c>
      <c r="N15" s="578">
        <f>+F15+M15</f>
        <v>38009.33902563015</v>
      </c>
      <c r="O15" s="578">
        <f>+N15/P$10</f>
        <v>3800.9339025630152</v>
      </c>
      <c r="P15" s="581">
        <f>+((P$10*(G15/I15)*$E15)/2000)</f>
        <v>6.8452380952380967</v>
      </c>
      <c r="Q15" s="13"/>
      <c r="R15" s="805">
        <f>N14-N15</f>
        <v>-8671.5849434530028</v>
      </c>
      <c r="S15" s="806"/>
      <c r="T15" s="806"/>
      <c r="U15" s="256" t="s">
        <v>43</v>
      </c>
      <c r="V15" s="257"/>
      <c r="W15" s="542"/>
      <c r="X15" s="4"/>
      <c r="Y15" s="4"/>
      <c r="Z15" s="4"/>
      <c r="AA15" s="4"/>
      <c r="AB15" s="4"/>
      <c r="AC15" s="4"/>
      <c r="AD15" s="4"/>
      <c r="AE15" s="4"/>
      <c r="AF15" s="4"/>
      <c r="AG15" s="4"/>
      <c r="AH15" s="4"/>
      <c r="AI15" s="4"/>
      <c r="AJ15" s="4"/>
      <c r="AK15" s="4"/>
    </row>
    <row r="16" spans="1:37" ht="21" customHeight="1" x14ac:dyDescent="0.35">
      <c r="A16" s="596"/>
      <c r="B16" s="598"/>
      <c r="C16" s="524"/>
      <c r="D16" s="589"/>
      <c r="E16" s="590"/>
      <c r="F16" s="591"/>
      <c r="G16" s="361"/>
      <c r="H16" s="463"/>
      <c r="I16" s="267"/>
      <c r="J16" s="268"/>
      <c r="K16" s="534" t="e">
        <f t="shared" ref="K16:K24" si="1">(H16*D16)/I16</f>
        <v>#DIV/0!</v>
      </c>
      <c r="L16" s="593"/>
      <c r="M16" s="593"/>
      <c r="N16" s="594"/>
      <c r="O16" s="594"/>
      <c r="P16" s="595"/>
      <c r="Q16" s="13"/>
      <c r="R16" s="807"/>
      <c r="S16" s="806"/>
      <c r="T16" s="806"/>
      <c r="U16" s="256"/>
      <c r="V16" s="257"/>
      <c r="W16" s="542"/>
      <c r="X16" s="4"/>
      <c r="Y16" s="4"/>
      <c r="Z16" s="4"/>
      <c r="AA16" s="4"/>
      <c r="AB16" s="4"/>
      <c r="AC16" s="4"/>
      <c r="AD16" s="4"/>
      <c r="AE16" s="4"/>
      <c r="AF16" s="4"/>
      <c r="AG16" s="4"/>
      <c r="AH16" s="4"/>
      <c r="AI16" s="4"/>
      <c r="AJ16" s="4"/>
      <c r="AK16" s="4"/>
    </row>
    <row r="17" spans="1:37" ht="20.25" customHeight="1" x14ac:dyDescent="0.4">
      <c r="A17" s="1034" t="s">
        <v>170</v>
      </c>
      <c r="B17" s="521" t="s">
        <v>171</v>
      </c>
      <c r="C17" s="523" t="s">
        <v>42</v>
      </c>
      <c r="D17" s="592">
        <f>IF($C17="gasoline",$I$3,IF($C17="electric",$I$5, IF($C17="cng",$I$2, IF($C17="biodiesel",$I$4,IF($C17="bicycle",$I$6,IF($C17="diesel",$I$4))))))</f>
        <v>2.4965363879402309</v>
      </c>
      <c r="E17" s="357">
        <f t="shared" ref="E17:E24" si="2">IF($C17="gasoline",$R$40,IF($C17="electric",$R$42,IF($C17="cng",$R$41,IF($C17="biodiesel",$R$44,IF($C17="diesel",$R$43,IF($C17="bicycle",0))))))</f>
        <v>23</v>
      </c>
      <c r="F17" s="306">
        <v>22795</v>
      </c>
      <c r="G17" s="362">
        <f t="shared" ref="G17:G24" si="3">+$F$8</f>
        <v>5000</v>
      </c>
      <c r="H17" s="395">
        <f t="shared" ref="H17:H24" si="4">$F$9</f>
        <v>13.698630136986301</v>
      </c>
      <c r="I17" s="123">
        <v>26</v>
      </c>
      <c r="J17" s="124">
        <v>6</v>
      </c>
      <c r="K17" s="533">
        <f t="shared" si="1"/>
        <v>1.3153511000738833</v>
      </c>
      <c r="L17" s="698">
        <f t="shared" si="0"/>
        <v>480.10315152696739</v>
      </c>
      <c r="M17" s="578">
        <f>+(G17/I17)*P$10*D17</f>
        <v>4801.0315152696758</v>
      </c>
      <c r="N17" s="578">
        <f t="shared" ref="N17:N24" si="5">+F17+M17</f>
        <v>27596.031515269675</v>
      </c>
      <c r="O17" s="578">
        <f t="shared" ref="O17:O24" si="6">+N17/P$10</f>
        <v>2759.6031515269674</v>
      </c>
      <c r="P17" s="154">
        <f>+((P$10*(G17/I17)*$E17)/2000)</f>
        <v>22.115384615384617</v>
      </c>
      <c r="Q17" s="13"/>
      <c r="R17" s="805">
        <f>$N$21-N17</f>
        <v>1730</v>
      </c>
      <c r="S17" s="792"/>
      <c r="T17" s="792"/>
      <c r="U17" s="194"/>
      <c r="V17" s="144" t="s">
        <v>43</v>
      </c>
      <c r="W17" s="543">
        <v>2</v>
      </c>
      <c r="X17" s="4"/>
      <c r="Y17" s="4"/>
      <c r="Z17" s="4"/>
      <c r="AA17" s="4"/>
      <c r="AB17" s="4"/>
      <c r="AC17" s="4"/>
      <c r="AD17" s="4"/>
      <c r="AE17" s="4"/>
      <c r="AF17" s="4"/>
      <c r="AG17" s="4"/>
      <c r="AH17" s="4"/>
      <c r="AI17" s="4"/>
      <c r="AJ17" s="4"/>
      <c r="AK17" s="4"/>
    </row>
    <row r="18" spans="1:37" ht="20.25" customHeight="1" x14ac:dyDescent="0.4">
      <c r="A18" s="1035"/>
      <c r="B18" s="521" t="s">
        <v>172</v>
      </c>
      <c r="C18" s="523" t="s">
        <v>42</v>
      </c>
      <c r="D18" s="592">
        <f t="shared" ref="D18:D24" si="7">IF($C18="gasoline",$I$3,IF($C18="electric",$I$5, IF($C18="cng",$I$2, IF($C18="biodiesel",$I$4,IF($C18="bicycle",$I$6,IF($C18="diesel",$I$4))))))</f>
        <v>2.4965363879402309</v>
      </c>
      <c r="E18" s="357">
        <f t="shared" si="2"/>
        <v>23</v>
      </c>
      <c r="F18" s="306">
        <v>26240</v>
      </c>
      <c r="G18" s="362">
        <f t="shared" si="3"/>
        <v>5000</v>
      </c>
      <c r="H18" s="395">
        <f t="shared" si="4"/>
        <v>13.698630136986301</v>
      </c>
      <c r="I18" s="123">
        <v>33</v>
      </c>
      <c r="J18" s="124">
        <v>8</v>
      </c>
      <c r="K18" s="533">
        <f t="shared" si="1"/>
        <v>1.0363372303612415</v>
      </c>
      <c r="L18" s="698">
        <f t="shared" si="0"/>
        <v>378.26308908185314</v>
      </c>
      <c r="M18" s="578">
        <f t="shared" ref="M18:M23" si="8">+(G18/I18)*P$10*D18</f>
        <v>3782.6308908185315</v>
      </c>
      <c r="N18" s="578">
        <f t="shared" si="5"/>
        <v>30022.630890818531</v>
      </c>
      <c r="O18" s="578">
        <f t="shared" si="6"/>
        <v>3002.2630890818532</v>
      </c>
      <c r="P18" s="154">
        <f>+((P$10*(G18/I18)*$E22)/2000)</f>
        <v>14.393939393939393</v>
      </c>
      <c r="Q18" s="13"/>
      <c r="R18" s="805">
        <f t="shared" ref="R18:R24" si="9">$N$21-N18</f>
        <v>-696.59937554885619</v>
      </c>
      <c r="S18" s="792"/>
      <c r="T18" s="792"/>
      <c r="U18" s="194"/>
      <c r="V18" s="144"/>
      <c r="W18" s="543"/>
      <c r="X18" s="4"/>
      <c r="Y18" s="4"/>
      <c r="Z18" s="4"/>
      <c r="AA18" s="4"/>
      <c r="AB18" s="4"/>
      <c r="AC18" s="4"/>
      <c r="AD18" s="4"/>
      <c r="AE18" s="4"/>
      <c r="AF18" s="4"/>
      <c r="AG18" s="4"/>
      <c r="AH18" s="4"/>
      <c r="AI18" s="4"/>
      <c r="AJ18" s="4"/>
      <c r="AK18" s="4"/>
    </row>
    <row r="19" spans="1:37" ht="21" x14ac:dyDescent="0.4">
      <c r="A19" s="1035"/>
      <c r="B19" s="521" t="s">
        <v>173</v>
      </c>
      <c r="C19" s="523" t="s">
        <v>42</v>
      </c>
      <c r="D19" s="592">
        <f t="shared" si="7"/>
        <v>2.4965363879402309</v>
      </c>
      <c r="E19" s="357">
        <f t="shared" si="2"/>
        <v>23</v>
      </c>
      <c r="F19" s="306">
        <v>27135</v>
      </c>
      <c r="G19" s="362">
        <f t="shared" si="3"/>
        <v>5000</v>
      </c>
      <c r="H19" s="395">
        <f t="shared" si="4"/>
        <v>13.698630136986301</v>
      </c>
      <c r="I19" s="123">
        <v>34</v>
      </c>
      <c r="J19" s="124">
        <v>7</v>
      </c>
      <c r="K19" s="533">
        <f t="shared" si="1"/>
        <v>1.0058567235859108</v>
      </c>
      <c r="L19" s="698">
        <f t="shared" si="0"/>
        <v>367.13770410885746</v>
      </c>
      <c r="M19" s="578">
        <f t="shared" si="8"/>
        <v>3671.3770410885745</v>
      </c>
      <c r="N19" s="578">
        <f t="shared" si="5"/>
        <v>30806.377041088574</v>
      </c>
      <c r="O19" s="578">
        <f t="shared" si="6"/>
        <v>3080.6377041088572</v>
      </c>
      <c r="P19" s="154">
        <f>+((P$10*(G19/I19)*23)/2000)</f>
        <v>16.911764705882351</v>
      </c>
      <c r="Q19" s="13"/>
      <c r="R19" s="805">
        <f t="shared" si="9"/>
        <v>-1480.3455258188988</v>
      </c>
      <c r="S19" s="792"/>
      <c r="T19" s="792"/>
      <c r="U19" s="194" t="e">
        <f>+R19+#REF!</f>
        <v>#REF!</v>
      </c>
      <c r="V19" s="144" t="e">
        <f>-1*+U19/#REF!</f>
        <v>#REF!</v>
      </c>
      <c r="W19" s="543">
        <v>14</v>
      </c>
      <c r="X19" s="4"/>
      <c r="Y19" s="4"/>
      <c r="Z19" s="4"/>
      <c r="AA19" s="4"/>
      <c r="AB19" s="4"/>
      <c r="AC19" s="4"/>
      <c r="AD19" s="4"/>
      <c r="AE19" s="4"/>
      <c r="AF19" s="4"/>
      <c r="AG19" s="4"/>
      <c r="AH19" s="4"/>
      <c r="AI19" s="4"/>
      <c r="AJ19" s="4"/>
      <c r="AK19" s="4"/>
    </row>
    <row r="20" spans="1:37" ht="21" x14ac:dyDescent="0.4">
      <c r="A20" s="1035"/>
      <c r="B20" s="521" t="s">
        <v>174</v>
      </c>
      <c r="C20" s="523" t="s">
        <v>42</v>
      </c>
      <c r="D20" s="592">
        <f t="shared" si="7"/>
        <v>2.4965363879402309</v>
      </c>
      <c r="E20" s="357">
        <f t="shared" si="2"/>
        <v>23</v>
      </c>
      <c r="F20" s="306">
        <v>24150</v>
      </c>
      <c r="G20" s="362">
        <f t="shared" si="3"/>
        <v>5000</v>
      </c>
      <c r="H20" s="395">
        <f t="shared" si="4"/>
        <v>13.698630136986301</v>
      </c>
      <c r="I20" s="123">
        <v>28</v>
      </c>
      <c r="J20" s="124">
        <v>7</v>
      </c>
      <c r="K20" s="533">
        <f t="shared" si="1"/>
        <v>1.221397450068606</v>
      </c>
      <c r="L20" s="698">
        <f t="shared" si="0"/>
        <v>445.8100692750412</v>
      </c>
      <c r="M20" s="578">
        <f t="shared" si="8"/>
        <v>4458.1006927504122</v>
      </c>
      <c r="N20" s="578">
        <f t="shared" si="5"/>
        <v>28608.100692750413</v>
      </c>
      <c r="O20" s="578">
        <f t="shared" si="6"/>
        <v>2860.8100692750413</v>
      </c>
      <c r="P20" s="154">
        <f>+((P$10*(G20/I20)*23)/2000)</f>
        <v>20.535714285714285</v>
      </c>
      <c r="Q20" s="13"/>
      <c r="R20" s="805">
        <f t="shared" si="9"/>
        <v>717.93082251926171</v>
      </c>
      <c r="S20" s="792"/>
      <c r="T20" s="792"/>
      <c r="U20" s="194"/>
      <c r="V20" s="144"/>
      <c r="W20" s="543"/>
      <c r="X20" s="4"/>
      <c r="Y20" s="4"/>
      <c r="Z20" s="4"/>
      <c r="AA20" s="4"/>
      <c r="AB20" s="4"/>
      <c r="AC20" s="4"/>
      <c r="AD20" s="4"/>
      <c r="AE20" s="4"/>
      <c r="AF20" s="4"/>
      <c r="AG20" s="4"/>
      <c r="AH20" s="4"/>
      <c r="AI20" s="4"/>
      <c r="AJ20" s="4"/>
      <c r="AK20" s="4"/>
    </row>
    <row r="21" spans="1:37" ht="21" x14ac:dyDescent="0.4">
      <c r="A21" s="1035"/>
      <c r="B21" s="522" t="s">
        <v>175</v>
      </c>
      <c r="C21" s="523" t="s">
        <v>42</v>
      </c>
      <c r="D21" s="592">
        <f t="shared" si="7"/>
        <v>2.4965363879402309</v>
      </c>
      <c r="E21" s="357">
        <f t="shared" si="2"/>
        <v>23</v>
      </c>
      <c r="F21" s="457">
        <v>24525</v>
      </c>
      <c r="G21" s="360">
        <f t="shared" si="3"/>
        <v>5000</v>
      </c>
      <c r="H21" s="395">
        <f t="shared" si="4"/>
        <v>13.698630136986301</v>
      </c>
      <c r="I21" s="155">
        <v>26</v>
      </c>
      <c r="J21" s="156">
        <v>6</v>
      </c>
      <c r="K21" s="533">
        <f t="shared" si="1"/>
        <v>1.3153511000738833</v>
      </c>
      <c r="L21" s="698">
        <f t="shared" si="0"/>
        <v>480.10315152696739</v>
      </c>
      <c r="M21" s="578">
        <f t="shared" si="8"/>
        <v>4801.0315152696758</v>
      </c>
      <c r="N21" s="582">
        <f t="shared" si="5"/>
        <v>29326.031515269675</v>
      </c>
      <c r="O21" s="582">
        <f t="shared" si="6"/>
        <v>2932.6031515269674</v>
      </c>
      <c r="P21" s="154">
        <f>+((P$10*(G21/I21)*23)/2000)</f>
        <v>22.115384615384617</v>
      </c>
      <c r="Q21" s="13"/>
      <c r="R21" s="803">
        <f t="shared" si="9"/>
        <v>0</v>
      </c>
      <c r="S21" s="792"/>
      <c r="T21" s="792"/>
      <c r="U21" s="194"/>
      <c r="V21" s="144"/>
      <c r="W21" s="543"/>
      <c r="X21" s="4"/>
      <c r="Y21" s="4"/>
      <c r="Z21" s="4"/>
      <c r="AA21" s="4"/>
      <c r="AB21" s="4"/>
      <c r="AC21" s="4"/>
      <c r="AD21" s="4"/>
      <c r="AE21" s="4"/>
      <c r="AF21" s="4"/>
      <c r="AG21" s="4"/>
      <c r="AH21" s="4"/>
      <c r="AI21" s="4"/>
      <c r="AJ21" s="4"/>
      <c r="AK21" s="4"/>
    </row>
    <row r="22" spans="1:37" ht="21" x14ac:dyDescent="0.4">
      <c r="A22" s="1035"/>
      <c r="B22" s="522" t="s">
        <v>176</v>
      </c>
      <c r="C22" s="523" t="s">
        <v>60</v>
      </c>
      <c r="D22" s="592">
        <f t="shared" si="7"/>
        <v>2.3322905729441636</v>
      </c>
      <c r="E22" s="357">
        <f t="shared" si="2"/>
        <v>19</v>
      </c>
      <c r="F22" s="457">
        <v>33430</v>
      </c>
      <c r="G22" s="360">
        <f t="shared" si="3"/>
        <v>5000</v>
      </c>
      <c r="H22" s="395">
        <f t="shared" si="4"/>
        <v>13.698630136986301</v>
      </c>
      <c r="I22" s="155">
        <v>28</v>
      </c>
      <c r="J22" s="156">
        <v>6</v>
      </c>
      <c r="K22" s="533">
        <f t="shared" si="1"/>
        <v>1.141042354669356</v>
      </c>
      <c r="L22" s="698">
        <f t="shared" si="0"/>
        <v>416.48045945431494</v>
      </c>
      <c r="M22" s="578">
        <f t="shared" si="8"/>
        <v>4164.8045945431495</v>
      </c>
      <c r="N22" s="582">
        <f t="shared" si="5"/>
        <v>37594.804594543151</v>
      </c>
      <c r="O22" s="582">
        <f t="shared" si="6"/>
        <v>3759.4804594543152</v>
      </c>
      <c r="P22" s="154">
        <f>+((P$10*(G22/I22)*19)/2000)</f>
        <v>16.964285714285715</v>
      </c>
      <c r="Q22" s="13"/>
      <c r="R22" s="805">
        <f t="shared" si="9"/>
        <v>-8268.7730792734765</v>
      </c>
      <c r="S22" s="792"/>
      <c r="T22" s="808">
        <f>N21-N22</f>
        <v>-8268.7730792734765</v>
      </c>
      <c r="U22" s="194"/>
      <c r="V22" s="144"/>
      <c r="W22" s="543"/>
      <c r="X22" s="4"/>
      <c r="Y22" s="4"/>
      <c r="Z22" s="4"/>
      <c r="AA22" s="4"/>
      <c r="AB22" s="4"/>
      <c r="AC22" s="4"/>
      <c r="AD22" s="4"/>
      <c r="AE22" s="4"/>
      <c r="AF22" s="4"/>
      <c r="AG22" s="4"/>
      <c r="AH22" s="4"/>
      <c r="AI22" s="4"/>
      <c r="AJ22" s="4"/>
      <c r="AK22" s="4"/>
    </row>
    <row r="23" spans="1:37" ht="21" x14ac:dyDescent="0.4">
      <c r="A23" s="1035"/>
      <c r="B23" s="522" t="s">
        <v>177</v>
      </c>
      <c r="C23" s="523" t="s">
        <v>42</v>
      </c>
      <c r="D23" s="592">
        <f t="shared" si="7"/>
        <v>2.4965363879402309</v>
      </c>
      <c r="E23" s="357">
        <f t="shared" si="2"/>
        <v>23</v>
      </c>
      <c r="F23" s="457">
        <v>26560</v>
      </c>
      <c r="G23" s="360">
        <f t="shared" si="3"/>
        <v>5000</v>
      </c>
      <c r="H23" s="395">
        <f t="shared" si="4"/>
        <v>13.698630136986301</v>
      </c>
      <c r="I23" s="155">
        <v>16</v>
      </c>
      <c r="J23" s="156">
        <v>3</v>
      </c>
      <c r="K23" s="533">
        <f t="shared" si="1"/>
        <v>2.1374455376200605</v>
      </c>
      <c r="L23" s="698">
        <f t="shared" si="0"/>
        <v>780.16762123132207</v>
      </c>
      <c r="M23" s="578">
        <f t="shared" si="8"/>
        <v>7801.6762123132212</v>
      </c>
      <c r="N23" s="570">
        <f t="shared" si="5"/>
        <v>34361.676212313221</v>
      </c>
      <c r="O23" s="570">
        <f t="shared" si="6"/>
        <v>3436.1676212313223</v>
      </c>
      <c r="P23" s="154">
        <f>+((P$10*(G23/I23)*23)/2000)</f>
        <v>35.9375</v>
      </c>
      <c r="Q23" s="13"/>
      <c r="R23" s="805">
        <f t="shared" si="9"/>
        <v>-5035.6446970435463</v>
      </c>
      <c r="S23" s="792"/>
      <c r="T23" s="792"/>
      <c r="U23" s="194"/>
      <c r="V23" s="144"/>
      <c r="W23" s="543"/>
      <c r="X23" s="4"/>
      <c r="Y23" s="4"/>
      <c r="Z23" s="4"/>
      <c r="AA23" s="4"/>
      <c r="AB23" s="4"/>
      <c r="AC23" s="4"/>
      <c r="AD23" s="4"/>
      <c r="AE23" s="4"/>
      <c r="AF23" s="4"/>
      <c r="AG23" s="4"/>
      <c r="AH23" s="4"/>
      <c r="AI23" s="4"/>
      <c r="AJ23" s="4"/>
      <c r="AK23" s="4"/>
    </row>
    <row r="24" spans="1:37" ht="21.6" thickBot="1" x14ac:dyDescent="0.45">
      <c r="A24" s="1096"/>
      <c r="B24" s="527" t="s">
        <v>178</v>
      </c>
      <c r="C24" s="528" t="s">
        <v>42</v>
      </c>
      <c r="D24" s="529">
        <f t="shared" si="7"/>
        <v>2.4965363879402309</v>
      </c>
      <c r="E24" s="530">
        <f t="shared" si="2"/>
        <v>23</v>
      </c>
      <c r="F24" s="531">
        <v>31630</v>
      </c>
      <c r="G24" s="366">
        <f t="shared" si="3"/>
        <v>5000</v>
      </c>
      <c r="H24" s="365">
        <f t="shared" si="4"/>
        <v>13.698630136986301</v>
      </c>
      <c r="I24" s="246">
        <v>23</v>
      </c>
      <c r="J24" s="532">
        <v>6</v>
      </c>
      <c r="K24" s="536">
        <f t="shared" si="1"/>
        <v>1.486918634866129</v>
      </c>
      <c r="L24" s="698">
        <f t="shared" si="0"/>
        <v>542.7253017261371</v>
      </c>
      <c r="M24" s="578">
        <f>+(G24/I24)*P$10*D24</f>
        <v>5427.2530172613715</v>
      </c>
      <c r="N24" s="571">
        <f t="shared" si="5"/>
        <v>37057.25301726137</v>
      </c>
      <c r="O24" s="571">
        <f t="shared" si="6"/>
        <v>3705.7253017261369</v>
      </c>
      <c r="P24" s="572">
        <f>+((P$10*(G24/I24)*$E24)/2000)</f>
        <v>25</v>
      </c>
      <c r="Q24" s="13"/>
      <c r="R24" s="805">
        <f t="shared" si="9"/>
        <v>-7731.2215019916948</v>
      </c>
      <c r="S24" s="792"/>
      <c r="T24" s="792"/>
      <c r="U24" s="194"/>
      <c r="V24" s="144"/>
      <c r="W24" s="543"/>
      <c r="X24" s="4"/>
      <c r="Y24" s="4"/>
      <c r="Z24" s="4"/>
      <c r="AA24" s="4"/>
      <c r="AB24" s="4"/>
      <c r="AC24" s="4"/>
      <c r="AD24" s="4"/>
      <c r="AE24" s="4"/>
      <c r="AF24" s="4"/>
      <c r="AG24" s="4"/>
      <c r="AH24" s="4"/>
      <c r="AI24" s="4"/>
      <c r="AJ24" s="4"/>
      <c r="AK24" s="4"/>
    </row>
    <row r="25" spans="1:37" ht="20.25" customHeight="1" thickBot="1" x14ac:dyDescent="0.4">
      <c r="A25" s="249"/>
      <c r="D25" s="610"/>
      <c r="E25" s="610"/>
      <c r="F25" s="302"/>
      <c r="G25" s="610"/>
      <c r="H25" s="610"/>
      <c r="M25" s="573"/>
      <c r="N25" s="573"/>
      <c r="O25" s="573"/>
      <c r="P25" s="574"/>
      <c r="Q25" s="13"/>
      <c r="R25" s="1086" t="s">
        <v>31</v>
      </c>
      <c r="S25" s="809"/>
      <c r="T25" s="1085" t="s">
        <v>32</v>
      </c>
      <c r="U25" s="194"/>
      <c r="V25" s="144" t="s">
        <v>43</v>
      </c>
      <c r="W25" s="544"/>
      <c r="X25" s="4"/>
      <c r="Y25" s="4"/>
      <c r="Z25" s="4"/>
      <c r="AA25" s="4"/>
      <c r="AB25" s="4"/>
      <c r="AC25" s="4"/>
      <c r="AD25" s="4"/>
      <c r="AE25" s="4"/>
      <c r="AF25" s="4"/>
      <c r="AG25" s="4"/>
      <c r="AH25" s="4"/>
      <c r="AI25" s="4"/>
      <c r="AJ25" s="4"/>
      <c r="AK25" s="4"/>
    </row>
    <row r="26" spans="1:37" s="49" customFormat="1" ht="22.5" customHeight="1" x14ac:dyDescent="0.35">
      <c r="A26" s="1066"/>
      <c r="B26" s="1038" t="s">
        <v>179</v>
      </c>
      <c r="C26" s="1078" t="s">
        <v>180</v>
      </c>
      <c r="D26" s="1080" t="s">
        <v>181</v>
      </c>
      <c r="E26" s="1080" t="s">
        <v>182</v>
      </c>
      <c r="F26" s="1040" t="s">
        <v>183</v>
      </c>
      <c r="G26" s="1090" t="s">
        <v>184</v>
      </c>
      <c r="H26" s="447"/>
      <c r="I26" s="1090" t="s">
        <v>24</v>
      </c>
      <c r="J26" s="1091" t="s">
        <v>185</v>
      </c>
      <c r="K26" s="514"/>
      <c r="L26" s="514"/>
      <c r="M26" s="1048" t="s">
        <v>186</v>
      </c>
      <c r="N26" s="1050" t="s">
        <v>187</v>
      </c>
      <c r="O26" s="1052" t="s">
        <v>29</v>
      </c>
      <c r="P26" s="1008" t="s">
        <v>188</v>
      </c>
      <c r="Q26" s="13"/>
      <c r="R26" s="1086"/>
      <c r="S26" s="810"/>
      <c r="T26" s="1085"/>
      <c r="U26" s="192"/>
      <c r="V26" s="143" t="s">
        <v>43</v>
      </c>
      <c r="W26" s="198"/>
      <c r="X26" s="66"/>
      <c r="Y26" s="66"/>
      <c r="Z26" s="66"/>
      <c r="AA26" s="66"/>
      <c r="AB26" s="66"/>
      <c r="AC26" s="66"/>
      <c r="AD26" s="66"/>
      <c r="AE26" s="66"/>
      <c r="AF26" s="66"/>
      <c r="AG26" s="66"/>
      <c r="AH26" s="66"/>
      <c r="AI26" s="66"/>
      <c r="AJ26" s="66"/>
      <c r="AK26" s="66"/>
    </row>
    <row r="27" spans="1:37" ht="40.950000000000003" customHeight="1" thickBot="1" x14ac:dyDescent="0.45">
      <c r="A27" s="1067"/>
      <c r="B27" s="1039"/>
      <c r="C27" s="1079"/>
      <c r="D27" s="1081"/>
      <c r="E27" s="1081"/>
      <c r="F27" s="1041"/>
      <c r="G27" s="1031"/>
      <c r="H27" s="448"/>
      <c r="I27" s="1031"/>
      <c r="J27" s="1009"/>
      <c r="K27" s="449" t="s">
        <v>189</v>
      </c>
      <c r="L27" s="449"/>
      <c r="M27" s="1049"/>
      <c r="N27" s="1051"/>
      <c r="O27" s="1053"/>
      <c r="P27" s="1047"/>
      <c r="Q27" s="13"/>
      <c r="R27" s="811" t="s">
        <v>36</v>
      </c>
      <c r="S27" s="812"/>
      <c r="T27" s="813" t="s">
        <v>37</v>
      </c>
      <c r="U27" s="258"/>
      <c r="V27" s="258"/>
      <c r="W27" s="545"/>
      <c r="X27"/>
    </row>
    <row r="28" spans="1:37" ht="20.25" customHeight="1" x14ac:dyDescent="0.35">
      <c r="A28" s="1034" t="s">
        <v>190</v>
      </c>
      <c r="B28" s="88" t="s">
        <v>191</v>
      </c>
      <c r="C28" s="279" t="s">
        <v>42</v>
      </c>
      <c r="D28" s="299">
        <f>IF($C28="gasoline",$I$3,IF($C28="electric",$I$5, IF($C28="cng",$I$2, IF($C28="biodiesel",$I$4,IF($C28="bicycle",$I$6,IF($C28="diesel",$I$4))))))</f>
        <v>2.4965363879402309</v>
      </c>
      <c r="E28" s="296">
        <f>IF($C28="gasoline",$R40,IF($C28="electric",$R42,IF($C28="cng",$R41,IF($C28="biodiesel",$R44,IF($C28="diesel",$R43,IF($C28="bicycle",0))))))</f>
        <v>23</v>
      </c>
      <c r="F28" s="303">
        <v>28045</v>
      </c>
      <c r="G28" s="440">
        <f t="shared" ref="G28:G35" si="10">+$F$8</f>
        <v>5000</v>
      </c>
      <c r="H28" s="293"/>
      <c r="I28" s="280">
        <v>17</v>
      </c>
      <c r="J28" s="281">
        <v>288</v>
      </c>
      <c r="K28" s="290">
        <v>131</v>
      </c>
      <c r="L28" s="290"/>
      <c r="M28" s="575">
        <f t="shared" ref="M28:M35" si="11">+(G28/I28)*P$10*$D28</f>
        <v>7342.754082177149</v>
      </c>
      <c r="N28" s="445">
        <f t="shared" ref="N28:N35" si="12">+F28+M28</f>
        <v>35387.754082177147</v>
      </c>
      <c r="O28" s="446">
        <f t="shared" ref="O28:O35" si="13">+N28/P$10</f>
        <v>3538.7754082177148</v>
      </c>
      <c r="P28" s="228">
        <f t="shared" ref="P28:P35" si="14">+((P$10*(G28/I28)*$E28)/2000)</f>
        <v>33.823529411764703</v>
      </c>
      <c r="Q28" s="13"/>
      <c r="R28" s="805">
        <f t="shared" ref="R28:R35" si="15">$N$31-N28</f>
        <v>4929.033877623624</v>
      </c>
      <c r="S28" s="804"/>
      <c r="T28" s="804"/>
      <c r="U28" s="258"/>
      <c r="V28" s="258"/>
      <c r="W28" s="545"/>
      <c r="X28" s="610"/>
    </row>
    <row r="29" spans="1:37" ht="21" x14ac:dyDescent="0.4">
      <c r="A29" s="1035"/>
      <c r="B29" s="89" t="s">
        <v>192</v>
      </c>
      <c r="C29" s="282" t="s">
        <v>42</v>
      </c>
      <c r="D29" s="300">
        <f>IF($C29="gasoline",$I$3,IF($C29="electric",$I$5, IF($C29="cng",$I$2, IF($C29="biodiesel",$I$4,IF($C29="bicycle",$I$6,IF($C29="diesel",$I$4))))))</f>
        <v>2.4965363879402309</v>
      </c>
      <c r="E29" s="297">
        <f>IF($C29="gasoline",$R$40,IF($C29="electric",$R42,IF($C29="cng",$R41,IF($C29="biodiesel",$R44,IF($C29="diesel",$R43,IF($C29="bicycle",0))))))</f>
        <v>23</v>
      </c>
      <c r="F29" s="304">
        <v>33000</v>
      </c>
      <c r="G29" s="441">
        <f t="shared" si="10"/>
        <v>5000</v>
      </c>
      <c r="H29" s="294"/>
      <c r="I29" s="283">
        <v>15</v>
      </c>
      <c r="J29" s="284">
        <v>365</v>
      </c>
      <c r="K29" s="291">
        <v>148</v>
      </c>
      <c r="L29" s="291"/>
      <c r="M29" s="576">
        <f t="shared" si="11"/>
        <v>8321.7879598007694</v>
      </c>
      <c r="N29" s="569">
        <f t="shared" si="12"/>
        <v>41321.787959800771</v>
      </c>
      <c r="O29" s="569">
        <f t="shared" si="13"/>
        <v>4132.1787959800768</v>
      </c>
      <c r="P29" s="154">
        <f t="shared" si="14"/>
        <v>38.333333333333329</v>
      </c>
      <c r="Q29" s="13"/>
      <c r="R29" s="805">
        <f t="shared" si="15"/>
        <v>-1005</v>
      </c>
      <c r="S29" s="814"/>
      <c r="T29" s="806"/>
      <c r="U29" s="258"/>
      <c r="V29" s="258"/>
      <c r="W29" s="545"/>
      <c r="X29" s="610"/>
    </row>
    <row r="30" spans="1:37" ht="21" customHeight="1" x14ac:dyDescent="0.35">
      <c r="A30" s="1035"/>
      <c r="B30" s="86" t="s">
        <v>193</v>
      </c>
      <c r="C30" s="146" t="s">
        <v>42</v>
      </c>
      <c r="D30" s="301">
        <f>IF($C30="gasoline",$I$3,IF($C30="electric",$I$5, IF($C30="cng",$I$2, IF($C30="biodiesel",$I$4,IF($C30="bicycle",$I$6,IF($C30="diesel",$I$4))))))</f>
        <v>2.4965363879402309</v>
      </c>
      <c r="E30" s="297">
        <f>IF($C30="gasoline",$R$40,IF($C30="electric",$R43,IF($C30="cng",$R42,IF($C30="biodiesel",$R45,IF($C30="diesel",$R44,IF($C30="bicycle",0))))))</f>
        <v>23</v>
      </c>
      <c r="F30" s="305">
        <v>29195</v>
      </c>
      <c r="G30" s="442">
        <f t="shared" si="10"/>
        <v>5000</v>
      </c>
      <c r="H30" s="298"/>
      <c r="I30" s="285">
        <v>16</v>
      </c>
      <c r="J30" s="286">
        <v>305</v>
      </c>
      <c r="K30" s="324">
        <v>131</v>
      </c>
      <c r="L30" s="324"/>
      <c r="M30" s="577">
        <f t="shared" si="11"/>
        <v>7801.6762123132212</v>
      </c>
      <c r="N30" s="578">
        <f t="shared" si="12"/>
        <v>36996.676212313221</v>
      </c>
      <c r="O30" s="578">
        <f t="shared" si="13"/>
        <v>3699.6676212313223</v>
      </c>
      <c r="P30" s="160">
        <f t="shared" si="14"/>
        <v>35.9375</v>
      </c>
      <c r="Q30" s="13"/>
      <c r="R30" s="805">
        <f t="shared" si="15"/>
        <v>3320.11174748755</v>
      </c>
      <c r="S30" s="804"/>
      <c r="T30" s="806"/>
      <c r="U30" s="258"/>
      <c r="V30" s="258"/>
      <c r="W30" s="545"/>
      <c r="X30" s="610"/>
    </row>
    <row r="31" spans="1:37" ht="20.25" customHeight="1" x14ac:dyDescent="0.35">
      <c r="A31" s="1035"/>
      <c r="B31" s="289" t="s">
        <v>194</v>
      </c>
      <c r="C31" s="122" t="s">
        <v>42</v>
      </c>
      <c r="D31" s="301">
        <f t="shared" ref="D31:D35" si="16">IF($C31="gasoline",$I$3,IF($C31="electric",$I$5, IF($C31="cng",$I$2, IF($C31="biodiesel",$I$4,IF($C31="bicycle",$I$6,IF($C31="diesel",$I$4))))))</f>
        <v>2.4965363879402309</v>
      </c>
      <c r="E31" s="297">
        <f>IF($C31="gasoline",$R$40,IF($C31="electric",$R45,IF($C31="cng",$R44,IF($C31="biodiesel",$R47,IF($C31="diesel",$R46,IF($C31="bicycle",0))))))</f>
        <v>23</v>
      </c>
      <c r="F31" s="306">
        <v>31995</v>
      </c>
      <c r="G31" s="442">
        <f t="shared" si="10"/>
        <v>5000</v>
      </c>
      <c r="H31" s="298"/>
      <c r="I31" s="123">
        <v>15</v>
      </c>
      <c r="J31" s="286">
        <v>304</v>
      </c>
      <c r="K31" s="292">
        <v>131</v>
      </c>
      <c r="L31" s="292"/>
      <c r="M31" s="577">
        <f t="shared" si="11"/>
        <v>8321.7879598007694</v>
      </c>
      <c r="N31" s="578">
        <f t="shared" si="12"/>
        <v>40316.787959800771</v>
      </c>
      <c r="O31" s="578">
        <f t="shared" si="13"/>
        <v>4031.6787959800772</v>
      </c>
      <c r="P31" s="160">
        <f t="shared" si="14"/>
        <v>38.333333333333329</v>
      </c>
      <c r="Q31" s="13"/>
      <c r="R31" s="803">
        <f t="shared" si="15"/>
        <v>0</v>
      </c>
      <c r="S31" s="806"/>
      <c r="T31" s="792"/>
      <c r="U31" s="258"/>
      <c r="V31" s="258"/>
      <c r="W31" s="545"/>
      <c r="X31" s="610"/>
    </row>
    <row r="32" spans="1:37" ht="21" customHeight="1" x14ac:dyDescent="0.35">
      <c r="A32" s="1035"/>
      <c r="B32" s="87" t="s">
        <v>195</v>
      </c>
      <c r="C32" s="162" t="s">
        <v>42</v>
      </c>
      <c r="D32" s="301">
        <f t="shared" si="16"/>
        <v>2.4965363879402309</v>
      </c>
      <c r="E32" s="297">
        <f>IF($C32="gasoline",$R$40,IF($C32="electric",$R46,IF($C32="cng",$R45,IF($C32="biodiesel",$R48,IF($C32="diesel",$R47,IF($C32="bicycle",0))))))</f>
        <v>23</v>
      </c>
      <c r="F32" s="451">
        <v>32205</v>
      </c>
      <c r="G32" s="452">
        <f t="shared" si="10"/>
        <v>5000</v>
      </c>
      <c r="H32" s="453"/>
      <c r="I32" s="454">
        <v>15</v>
      </c>
      <c r="J32" s="455">
        <v>365</v>
      </c>
      <c r="K32" s="456">
        <v>131</v>
      </c>
      <c r="L32" s="456"/>
      <c r="M32" s="579">
        <f t="shared" si="11"/>
        <v>8321.7879598007694</v>
      </c>
      <c r="N32" s="580">
        <f t="shared" si="12"/>
        <v>40526.787959800771</v>
      </c>
      <c r="O32" s="580">
        <f t="shared" si="13"/>
        <v>4052.6787959800772</v>
      </c>
      <c r="P32" s="581">
        <f t="shared" si="14"/>
        <v>38.333333333333329</v>
      </c>
      <c r="Q32" s="13"/>
      <c r="R32" s="805">
        <f t="shared" si="15"/>
        <v>-210</v>
      </c>
      <c r="S32" s="806"/>
      <c r="T32" s="792"/>
      <c r="U32" s="258"/>
      <c r="V32" s="258"/>
      <c r="W32" s="545"/>
      <c r="X32" s="610"/>
    </row>
    <row r="33" spans="1:27" ht="20.25" customHeight="1" x14ac:dyDescent="0.35">
      <c r="A33" s="1035"/>
      <c r="B33" s="517" t="s">
        <v>196</v>
      </c>
      <c r="C33" s="518" t="s">
        <v>42</v>
      </c>
      <c r="D33" s="301">
        <f t="shared" si="16"/>
        <v>2.4965363879402309</v>
      </c>
      <c r="E33" s="450">
        <f>IF($C33="gasoline",$R$40,IF($C33="electric",$R48,IF($C33="cng",$R47,IF($C33="biodiesel",$R50,IF($C33="diesel",$R49,IF($C33="bicycle",0))))))</f>
        <v>23</v>
      </c>
      <c r="F33" s="457">
        <v>30035</v>
      </c>
      <c r="G33" s="458">
        <f t="shared" si="10"/>
        <v>5000</v>
      </c>
      <c r="H33" s="459"/>
      <c r="I33" s="155">
        <v>40</v>
      </c>
      <c r="J33" s="156">
        <v>188</v>
      </c>
      <c r="K33" s="409"/>
      <c r="L33" s="409"/>
      <c r="M33" s="582">
        <f t="shared" si="11"/>
        <v>3120.6704849252887</v>
      </c>
      <c r="N33" s="582">
        <f t="shared" si="12"/>
        <v>33155.670484925286</v>
      </c>
      <c r="O33" s="582">
        <f t="shared" si="13"/>
        <v>3315.5670484925286</v>
      </c>
      <c r="P33" s="583">
        <f t="shared" si="14"/>
        <v>14.375</v>
      </c>
      <c r="Q33" s="13"/>
      <c r="R33" s="805">
        <f t="shared" si="15"/>
        <v>7161.1174748754856</v>
      </c>
      <c r="S33" s="792"/>
      <c r="T33" s="792"/>
      <c r="U33" s="258"/>
      <c r="V33" s="258"/>
      <c r="W33" s="545"/>
      <c r="X33" s="610"/>
    </row>
    <row r="34" spans="1:27" ht="21" customHeight="1" x14ac:dyDescent="0.35">
      <c r="A34" s="1036"/>
      <c r="B34" s="289" t="s">
        <v>197</v>
      </c>
      <c r="C34" s="122" t="s">
        <v>42</v>
      </c>
      <c r="D34" s="515">
        <f t="shared" si="16"/>
        <v>2.4965363879402309</v>
      </c>
      <c r="E34" s="450">
        <f>IF($C34="gasoline",$R$40,IF($C34="electric",$R49,IF($C34="cng",$R48,IF($C34="biodiesel",$R51,IF($C34="diesel",$R50,IF($C34="bicycle",0))))))</f>
        <v>23</v>
      </c>
      <c r="F34" s="306">
        <v>31645</v>
      </c>
      <c r="G34" s="442">
        <f t="shared" si="10"/>
        <v>5000</v>
      </c>
      <c r="H34" s="298"/>
      <c r="I34" s="123">
        <v>18</v>
      </c>
      <c r="J34" s="286">
        <v>292</v>
      </c>
      <c r="K34" s="460"/>
      <c r="L34" s="460"/>
      <c r="M34" s="584">
        <f t="shared" si="11"/>
        <v>6934.8232998339745</v>
      </c>
      <c r="N34" s="582">
        <f t="shared" si="12"/>
        <v>38579.823299833974</v>
      </c>
      <c r="O34" s="582">
        <f t="shared" si="13"/>
        <v>3857.9823299833974</v>
      </c>
      <c r="P34" s="583">
        <f t="shared" si="14"/>
        <v>31.944444444444446</v>
      </c>
      <c r="Q34" s="13"/>
      <c r="R34" s="805">
        <f t="shared" si="15"/>
        <v>1736.9646599667976</v>
      </c>
      <c r="S34" s="792"/>
      <c r="T34" s="792"/>
      <c r="U34" s="258"/>
      <c r="V34" s="258"/>
      <c r="W34" s="545"/>
      <c r="X34" s="610"/>
    </row>
    <row r="35" spans="1:27" ht="20.25" customHeight="1" thickBot="1" x14ac:dyDescent="0.4">
      <c r="A35" s="1037"/>
      <c r="B35" s="519" t="s">
        <v>198</v>
      </c>
      <c r="C35" s="148" t="s">
        <v>42</v>
      </c>
      <c r="D35" s="516">
        <f t="shared" si="16"/>
        <v>2.4965363879402309</v>
      </c>
      <c r="E35" s="337">
        <f>IF($C35="gasoline",$R$40,IF($C35="electric",$R50,IF($C35="cng",$R49,IF($C35="biodiesel",$R52,IF($C35="diesel",$R51,IF($C35="bicycle",0))))))</f>
        <v>23</v>
      </c>
      <c r="F35" s="307">
        <v>33000</v>
      </c>
      <c r="G35" s="443">
        <f t="shared" si="10"/>
        <v>5000</v>
      </c>
      <c r="H35" s="295"/>
      <c r="I35" s="287">
        <v>16</v>
      </c>
      <c r="J35" s="288">
        <v>370</v>
      </c>
      <c r="K35" s="338"/>
      <c r="L35" s="338"/>
      <c r="M35" s="585">
        <f t="shared" si="11"/>
        <v>7801.6762123132212</v>
      </c>
      <c r="N35" s="571">
        <f t="shared" si="12"/>
        <v>40801.676212313221</v>
      </c>
      <c r="O35" s="571">
        <f t="shared" si="13"/>
        <v>4080.1676212313223</v>
      </c>
      <c r="P35" s="586">
        <f t="shared" si="14"/>
        <v>35.9375</v>
      </c>
      <c r="Q35" s="13"/>
      <c r="R35" s="815">
        <f t="shared" si="15"/>
        <v>-484.88825251244998</v>
      </c>
      <c r="S35" s="816"/>
      <c r="T35" s="817"/>
      <c r="U35" s="546"/>
      <c r="V35" s="546"/>
      <c r="W35" s="547"/>
      <c r="X35" s="610"/>
    </row>
    <row r="36" spans="1:27" x14ac:dyDescent="0.3">
      <c r="A36" s="250"/>
      <c r="G36" s="610"/>
      <c r="H36" s="610"/>
      <c r="P36"/>
      <c r="Q36"/>
      <c r="R36"/>
      <c r="S36"/>
      <c r="T36"/>
      <c r="W36" s="610"/>
      <c r="X36" s="610"/>
    </row>
    <row r="37" spans="1:27" ht="16.95" customHeight="1" x14ac:dyDescent="0.3">
      <c r="A37" s="250"/>
      <c r="B37" s="345"/>
      <c r="C37" s="614"/>
      <c r="D37" s="614"/>
      <c r="E37" s="614"/>
      <c r="F37" s="614"/>
      <c r="G37" s="610"/>
      <c r="H37" s="610"/>
      <c r="P37"/>
      <c r="Q37"/>
      <c r="R37"/>
      <c r="S37"/>
      <c r="T37"/>
      <c r="W37" s="610"/>
      <c r="X37" s="610"/>
    </row>
    <row r="38" spans="1:27" ht="19.2" customHeight="1" thickBot="1" x14ac:dyDescent="0.4">
      <c r="B38" s="1093" t="s">
        <v>69</v>
      </c>
      <c r="C38" s="1094"/>
      <c r="D38" s="1094"/>
      <c r="E38" s="1094"/>
      <c r="F38" s="1094"/>
      <c r="G38" s="1094"/>
      <c r="H38" s="1094"/>
      <c r="I38" s="1094"/>
      <c r="J38" s="1094"/>
      <c r="K38" s="1094"/>
      <c r="L38" s="696"/>
      <c r="P38"/>
      <c r="Q38"/>
      <c r="R38"/>
      <c r="S38"/>
      <c r="T38"/>
      <c r="W38" s="610"/>
      <c r="X38" s="610"/>
    </row>
    <row r="39" spans="1:27" ht="20.399999999999999" x14ac:dyDescent="0.45">
      <c r="B39" s="924" t="s">
        <v>92</v>
      </c>
      <c r="C39" s="924"/>
      <c r="D39" s="924"/>
      <c r="E39" s="924"/>
      <c r="F39" s="924"/>
      <c r="G39" s="924"/>
      <c r="H39" s="924"/>
      <c r="I39" s="924"/>
      <c r="J39" s="924"/>
      <c r="K39" s="924"/>
      <c r="L39" s="340"/>
      <c r="P39" s="548" t="s">
        <v>94</v>
      </c>
      <c r="Q39" s="549"/>
      <c r="R39" s="550"/>
      <c r="S39"/>
      <c r="T39"/>
      <c r="U39" s="4"/>
      <c r="V39" s="4"/>
      <c r="W39" s="24"/>
      <c r="X39" s="24"/>
      <c r="Y39" s="4"/>
      <c r="Z39" s="4"/>
      <c r="AA39" s="4"/>
    </row>
    <row r="40" spans="1:27" ht="18" customHeight="1" x14ac:dyDescent="0.35">
      <c r="B40" s="946" t="s">
        <v>93</v>
      </c>
      <c r="C40" s="946"/>
      <c r="D40" s="946"/>
      <c r="E40" s="946"/>
      <c r="F40" s="946"/>
      <c r="G40" s="946"/>
      <c r="H40" s="946"/>
      <c r="I40" s="946"/>
      <c r="J40" s="946"/>
      <c r="K40" s="946"/>
      <c r="L40" s="340"/>
      <c r="P40" s="551" t="s">
        <v>96</v>
      </c>
      <c r="Q40" s="330"/>
      <c r="R40" s="552">
        <v>23</v>
      </c>
      <c r="S40"/>
      <c r="T40"/>
      <c r="W40" s="610"/>
      <c r="X40" s="610"/>
    </row>
    <row r="41" spans="1:27" ht="18.45" customHeight="1" x14ac:dyDescent="0.35">
      <c r="B41" s="947" t="s">
        <v>95</v>
      </c>
      <c r="C41" s="948"/>
      <c r="D41" s="948"/>
      <c r="E41" s="948"/>
      <c r="F41" s="948"/>
      <c r="G41" s="948"/>
      <c r="H41" s="948"/>
      <c r="I41" s="948"/>
      <c r="J41" s="948"/>
      <c r="K41" s="949"/>
      <c r="L41" s="340"/>
      <c r="P41" s="551" t="s">
        <v>98</v>
      </c>
      <c r="Q41" s="330"/>
      <c r="R41" s="552">
        <v>14.6</v>
      </c>
      <c r="S41"/>
      <c r="T41"/>
      <c r="W41" s="610"/>
      <c r="X41" s="610"/>
    </row>
    <row r="42" spans="1:27" ht="18.45" customHeight="1" x14ac:dyDescent="0.35">
      <c r="B42" s="950" t="s">
        <v>97</v>
      </c>
      <c r="C42" s="951"/>
      <c r="D42" s="951"/>
      <c r="E42" s="951"/>
      <c r="F42" s="951"/>
      <c r="G42" s="951"/>
      <c r="H42" s="951"/>
      <c r="I42" s="951"/>
      <c r="J42" s="951"/>
      <c r="K42" s="952"/>
      <c r="L42" s="697"/>
      <c r="P42" s="551" t="s">
        <v>100</v>
      </c>
      <c r="Q42" s="330"/>
      <c r="R42" s="552">
        <v>0</v>
      </c>
      <c r="S42"/>
      <c r="T42"/>
      <c r="W42" s="610"/>
      <c r="X42" s="610"/>
    </row>
    <row r="43" spans="1:27" ht="18.45" customHeight="1" x14ac:dyDescent="0.35">
      <c r="B43" s="975" t="s">
        <v>99</v>
      </c>
      <c r="C43" s="976"/>
      <c r="D43" s="976"/>
      <c r="E43" s="976"/>
      <c r="F43" s="976"/>
      <c r="G43" s="976"/>
      <c r="H43" s="976"/>
      <c r="I43" s="976"/>
      <c r="J43" s="976"/>
      <c r="K43" s="977"/>
      <c r="L43" s="340"/>
      <c r="P43" s="551" t="s">
        <v>102</v>
      </c>
      <c r="Q43" s="330"/>
      <c r="R43" s="552">
        <v>28</v>
      </c>
      <c r="S43"/>
      <c r="T43"/>
      <c r="W43" s="610"/>
      <c r="X43" s="610"/>
    </row>
    <row r="44" spans="1:27" ht="18.45" customHeight="1" x14ac:dyDescent="0.35">
      <c r="B44" s="924" t="s">
        <v>101</v>
      </c>
      <c r="C44" s="924"/>
      <c r="D44" s="924"/>
      <c r="E44" s="924"/>
      <c r="F44" s="924"/>
      <c r="G44" s="924"/>
      <c r="H44" s="924"/>
      <c r="I44" s="924"/>
      <c r="J44" s="924"/>
      <c r="K44" s="924"/>
      <c r="L44" s="340"/>
      <c r="M44" s="17"/>
      <c r="N44" s="17"/>
      <c r="O44" s="17"/>
      <c r="P44" s="553" t="s">
        <v>104</v>
      </c>
      <c r="Q44" s="330"/>
      <c r="R44" s="552">
        <v>19</v>
      </c>
      <c r="S44"/>
      <c r="T44"/>
      <c r="W44" s="610"/>
      <c r="X44" s="610"/>
    </row>
    <row r="45" spans="1:27" ht="18.45" customHeight="1" thickBot="1" x14ac:dyDescent="0.4">
      <c r="B45" s="924" t="s">
        <v>103</v>
      </c>
      <c r="C45" s="924"/>
      <c r="D45" s="924"/>
      <c r="E45" s="924"/>
      <c r="F45" s="924"/>
      <c r="G45" s="924"/>
      <c r="H45" s="924"/>
      <c r="I45" s="924"/>
      <c r="J45" s="924"/>
      <c r="K45" s="924"/>
      <c r="L45" s="340"/>
      <c r="P45" s="554" t="s">
        <v>156</v>
      </c>
      <c r="Q45" s="555"/>
      <c r="R45" s="556">
        <f>23</f>
        <v>23</v>
      </c>
      <c r="S45"/>
      <c r="T45"/>
      <c r="W45" s="610"/>
      <c r="X45" s="610"/>
    </row>
    <row r="46" spans="1:27" s="17" customFormat="1" ht="18.45" customHeight="1" x14ac:dyDescent="0.3">
      <c r="B46" s="924" t="s">
        <v>155</v>
      </c>
      <c r="C46" s="924"/>
      <c r="D46" s="924"/>
      <c r="E46" s="924"/>
      <c r="F46" s="924"/>
      <c r="G46" s="924"/>
      <c r="H46" s="924"/>
      <c r="I46" s="924"/>
      <c r="J46" s="924"/>
      <c r="K46" s="924"/>
      <c r="L46" s="340"/>
      <c r="M46"/>
      <c r="N46"/>
      <c r="O46"/>
      <c r="P46"/>
      <c r="Q46"/>
      <c r="R46"/>
      <c r="S46"/>
      <c r="T46"/>
      <c r="U46" s="18"/>
      <c r="V46" s="19"/>
      <c r="W46" s="22"/>
      <c r="X46" s="22"/>
    </row>
    <row r="47" spans="1:27" ht="18.45" customHeight="1" x14ac:dyDescent="0.3">
      <c r="B47" s="924" t="s">
        <v>107</v>
      </c>
      <c r="C47" s="924"/>
      <c r="D47" s="924"/>
      <c r="E47" s="924"/>
      <c r="F47" s="924"/>
      <c r="G47" s="924"/>
      <c r="H47" s="924"/>
      <c r="I47" s="924"/>
      <c r="J47" s="924"/>
      <c r="K47" s="924"/>
      <c r="L47" s="340"/>
      <c r="P47"/>
      <c r="Q47"/>
      <c r="R47"/>
      <c r="S47"/>
      <c r="T47"/>
      <c r="W47" s="610"/>
      <c r="X47" s="610"/>
    </row>
    <row r="48" spans="1:27" ht="19.2" customHeight="1" x14ac:dyDescent="0.3">
      <c r="B48" s="924" t="s">
        <v>108</v>
      </c>
      <c r="C48" s="924"/>
      <c r="D48" s="924"/>
      <c r="E48" s="924"/>
      <c r="F48" s="924"/>
      <c r="G48" s="924"/>
      <c r="H48" s="924"/>
      <c r="I48" s="924"/>
      <c r="J48" s="924"/>
      <c r="K48" s="924"/>
      <c r="L48" s="340"/>
      <c r="N48" s="7"/>
      <c r="O48" s="7"/>
      <c r="P48" s="7"/>
      <c r="Q48" s="7"/>
      <c r="R48" s="7"/>
      <c r="S48"/>
      <c r="T48"/>
      <c r="W48" s="610"/>
      <c r="X48" s="610"/>
    </row>
    <row r="49" spans="2:20" ht="15" x14ac:dyDescent="0.3">
      <c r="B49" s="924" t="s">
        <v>109</v>
      </c>
      <c r="C49" s="924"/>
      <c r="D49" s="924"/>
      <c r="E49" s="924"/>
      <c r="F49" s="924"/>
      <c r="G49" s="924"/>
      <c r="H49" s="924"/>
      <c r="I49" s="924"/>
      <c r="J49" s="924"/>
      <c r="K49" s="924"/>
      <c r="L49" s="340"/>
      <c r="P49"/>
      <c r="Q49"/>
      <c r="R49"/>
      <c r="S49"/>
      <c r="T49"/>
    </row>
    <row r="50" spans="2:20" ht="19.2" customHeight="1" x14ac:dyDescent="0.3">
      <c r="B50" s="924" t="s">
        <v>110</v>
      </c>
      <c r="C50" s="924"/>
      <c r="D50" s="924"/>
      <c r="E50" s="924"/>
      <c r="F50" s="924"/>
      <c r="G50" s="924"/>
      <c r="H50" s="924"/>
      <c r="I50" s="924"/>
      <c r="J50" s="924"/>
      <c r="K50" s="924"/>
      <c r="L50" s="340"/>
      <c r="P50"/>
      <c r="Q50"/>
      <c r="R50"/>
      <c r="S50"/>
      <c r="T50"/>
    </row>
    <row r="51" spans="2:20" ht="15" x14ac:dyDescent="0.3">
      <c r="B51" s="1019" t="s">
        <v>157</v>
      </c>
      <c r="C51" s="924"/>
      <c r="D51" s="924"/>
      <c r="E51" s="924"/>
      <c r="F51" s="924"/>
      <c r="G51" s="924"/>
      <c r="H51" s="924"/>
      <c r="I51" s="924"/>
      <c r="J51" s="924"/>
      <c r="K51" s="924"/>
      <c r="L51" s="340"/>
      <c r="P51"/>
      <c r="Q51"/>
      <c r="R51"/>
      <c r="S51"/>
      <c r="T51"/>
    </row>
    <row r="52" spans="2:20" ht="22.2" customHeight="1" x14ac:dyDescent="0.3">
      <c r="G52" s="610"/>
      <c r="H52" s="610"/>
      <c r="P52"/>
      <c r="Q52"/>
      <c r="R52"/>
      <c r="S52"/>
      <c r="T52"/>
    </row>
    <row r="53" spans="2:20" x14ac:dyDescent="0.3">
      <c r="G53" s="610"/>
      <c r="H53" s="610"/>
      <c r="P53"/>
      <c r="Q53"/>
      <c r="R53"/>
      <c r="S53"/>
      <c r="T53"/>
    </row>
    <row r="54" spans="2:20" x14ac:dyDescent="0.3">
      <c r="G54" s="610"/>
      <c r="H54" s="610"/>
      <c r="P54"/>
      <c r="Q54"/>
      <c r="R54"/>
      <c r="S54"/>
      <c r="T54"/>
    </row>
    <row r="55" spans="2:20" x14ac:dyDescent="0.3">
      <c r="G55" s="610"/>
      <c r="H55" s="610"/>
      <c r="P55"/>
      <c r="Q55"/>
      <c r="R55"/>
      <c r="S55"/>
      <c r="T55"/>
    </row>
    <row r="56" spans="2:20" x14ac:dyDescent="0.3">
      <c r="G56" s="610"/>
      <c r="H56" s="610"/>
      <c r="P56"/>
      <c r="Q56"/>
      <c r="R56"/>
      <c r="S56"/>
      <c r="T56"/>
    </row>
    <row r="57" spans="2:20" x14ac:dyDescent="0.3">
      <c r="G57" s="610"/>
      <c r="H57" s="610"/>
      <c r="P57"/>
      <c r="Q57"/>
      <c r="R57"/>
      <c r="S57"/>
      <c r="T57"/>
    </row>
    <row r="58" spans="2:20" x14ac:dyDescent="0.3">
      <c r="G58" s="610"/>
      <c r="H58" s="610"/>
      <c r="P58"/>
      <c r="Q58"/>
      <c r="R58"/>
      <c r="S58"/>
      <c r="T58"/>
    </row>
    <row r="59" spans="2:20" x14ac:dyDescent="0.3">
      <c r="G59" s="610"/>
      <c r="H59" s="610"/>
      <c r="P59"/>
      <c r="Q59"/>
      <c r="R59"/>
      <c r="S59"/>
      <c r="T59"/>
    </row>
    <row r="60" spans="2:20" x14ac:dyDescent="0.3">
      <c r="G60" s="610"/>
      <c r="H60" s="610"/>
      <c r="P60"/>
      <c r="Q60"/>
      <c r="R60"/>
      <c r="S60"/>
      <c r="T60"/>
    </row>
    <row r="61" spans="2:20" x14ac:dyDescent="0.3">
      <c r="G61" s="610"/>
      <c r="H61" s="610"/>
      <c r="P61"/>
      <c r="Q61"/>
      <c r="R61"/>
      <c r="S61"/>
      <c r="T61"/>
    </row>
    <row r="62" spans="2:20" x14ac:dyDescent="0.3">
      <c r="G62" s="610"/>
      <c r="H62" s="610"/>
      <c r="P62"/>
      <c r="Q62"/>
      <c r="R62"/>
      <c r="S62"/>
      <c r="T62"/>
    </row>
    <row r="63" spans="2:20" x14ac:dyDescent="0.3">
      <c r="G63" s="610"/>
      <c r="H63" s="610"/>
      <c r="P63"/>
      <c r="Q63"/>
      <c r="R63"/>
      <c r="S63"/>
      <c r="T63"/>
    </row>
    <row r="64" spans="2:20" x14ac:dyDescent="0.3">
      <c r="G64" s="610"/>
      <c r="H64" s="610"/>
      <c r="P64"/>
      <c r="Q64"/>
      <c r="R64"/>
      <c r="S64"/>
      <c r="T64"/>
    </row>
    <row r="65" spans="16:20" x14ac:dyDescent="0.3">
      <c r="P65"/>
      <c r="Q65"/>
      <c r="R65"/>
      <c r="S65"/>
      <c r="T65"/>
    </row>
    <row r="66" spans="16:20" x14ac:dyDescent="0.3">
      <c r="P66"/>
      <c r="Q66"/>
      <c r="R66"/>
      <c r="S66"/>
      <c r="T66"/>
    </row>
    <row r="67" spans="16:20" x14ac:dyDescent="0.3">
      <c r="P67"/>
      <c r="Q67"/>
      <c r="R67"/>
      <c r="S67"/>
      <c r="T67"/>
    </row>
    <row r="68" spans="16:20" x14ac:dyDescent="0.3">
      <c r="P68"/>
      <c r="Q68"/>
      <c r="R68"/>
      <c r="S68"/>
      <c r="T68"/>
    </row>
    <row r="69" spans="16:20" x14ac:dyDescent="0.3">
      <c r="P69"/>
      <c r="Q69"/>
      <c r="R69"/>
      <c r="S69"/>
      <c r="T69"/>
    </row>
    <row r="70" spans="16:20" x14ac:dyDescent="0.3">
      <c r="P70"/>
      <c r="Q70"/>
      <c r="R70"/>
      <c r="S70"/>
      <c r="T70"/>
    </row>
    <row r="71" spans="16:20" x14ac:dyDescent="0.3">
      <c r="P71"/>
      <c r="Q71"/>
      <c r="R71"/>
      <c r="S71"/>
      <c r="T71"/>
    </row>
    <row r="72" spans="16:20" x14ac:dyDescent="0.3">
      <c r="P72"/>
      <c r="Q72"/>
      <c r="R72"/>
      <c r="S72"/>
      <c r="T72"/>
    </row>
    <row r="73" spans="16:20" x14ac:dyDescent="0.3">
      <c r="P73"/>
      <c r="Q73"/>
      <c r="R73"/>
      <c r="S73"/>
      <c r="T73"/>
    </row>
    <row r="74" spans="16:20" x14ac:dyDescent="0.3">
      <c r="P74"/>
      <c r="Q74"/>
      <c r="R74"/>
      <c r="S74"/>
      <c r="T74"/>
    </row>
    <row r="75" spans="16:20" x14ac:dyDescent="0.3">
      <c r="P75"/>
      <c r="Q75"/>
      <c r="R75"/>
      <c r="S75"/>
      <c r="T75"/>
    </row>
    <row r="76" spans="16:20" x14ac:dyDescent="0.3">
      <c r="P76"/>
      <c r="Q76"/>
      <c r="R76"/>
      <c r="S76"/>
      <c r="T76"/>
    </row>
    <row r="77" spans="16:20" x14ac:dyDescent="0.3">
      <c r="P77"/>
      <c r="Q77"/>
      <c r="R77"/>
      <c r="S77"/>
      <c r="T77"/>
    </row>
    <row r="78" spans="16:20" x14ac:dyDescent="0.3">
      <c r="P78"/>
      <c r="Q78"/>
      <c r="R78"/>
      <c r="S78"/>
      <c r="T78"/>
    </row>
    <row r="79" spans="16:20" x14ac:dyDescent="0.3">
      <c r="P79"/>
      <c r="Q79"/>
      <c r="R79"/>
      <c r="S79"/>
      <c r="T79"/>
    </row>
    <row r="80" spans="16:20" x14ac:dyDescent="0.3">
      <c r="P80"/>
      <c r="Q80"/>
      <c r="R80"/>
      <c r="S80"/>
      <c r="T80"/>
    </row>
    <row r="81" spans="16:20" x14ac:dyDescent="0.3">
      <c r="P81"/>
      <c r="Q81"/>
      <c r="R81"/>
      <c r="S81"/>
      <c r="T81"/>
    </row>
  </sheetData>
  <sheetProtection selectLockedCells="1"/>
  <dataConsolidate/>
  <mergeCells count="60">
    <mergeCell ref="B51:K51"/>
    <mergeCell ref="B40:K40"/>
    <mergeCell ref="B41:K41"/>
    <mergeCell ref="B42:K42"/>
    <mergeCell ref="B43:K43"/>
    <mergeCell ref="B44:K44"/>
    <mergeCell ref="B45:K45"/>
    <mergeCell ref="B46:K46"/>
    <mergeCell ref="B47:K47"/>
    <mergeCell ref="B48:K48"/>
    <mergeCell ref="B50:K50"/>
    <mergeCell ref="B49:K49"/>
    <mergeCell ref="A17:A24"/>
    <mergeCell ref="C12:C13"/>
    <mergeCell ref="D12:D13"/>
    <mergeCell ref="E12:E13"/>
    <mergeCell ref="A14:A15"/>
    <mergeCell ref="A12:A13"/>
    <mergeCell ref="B12:B13"/>
    <mergeCell ref="B39:K39"/>
    <mergeCell ref="T25:T26"/>
    <mergeCell ref="R25:R26"/>
    <mergeCell ref="K12:K13"/>
    <mergeCell ref="J12:J13"/>
    <mergeCell ref="G26:G27"/>
    <mergeCell ref="I26:I27"/>
    <mergeCell ref="J26:J27"/>
    <mergeCell ref="F12:F13"/>
    <mergeCell ref="B38:K38"/>
    <mergeCell ref="L12:L13"/>
    <mergeCell ref="B8:E8"/>
    <mergeCell ref="B9:E9"/>
    <mergeCell ref="B1:I1"/>
    <mergeCell ref="N1:R1"/>
    <mergeCell ref="C26:C27"/>
    <mergeCell ref="D26:D27"/>
    <mergeCell ref="E26:E27"/>
    <mergeCell ref="P10:P11"/>
    <mergeCell ref="M10:O11"/>
    <mergeCell ref="U3:V3"/>
    <mergeCell ref="R9:T9"/>
    <mergeCell ref="G2:H5"/>
    <mergeCell ref="N6:Q6"/>
    <mergeCell ref="X1:AB1"/>
    <mergeCell ref="A28:A35"/>
    <mergeCell ref="B26:B27"/>
    <mergeCell ref="F26:F27"/>
    <mergeCell ref="R10:W10"/>
    <mergeCell ref="R11:T11"/>
    <mergeCell ref="P26:P27"/>
    <mergeCell ref="M26:M27"/>
    <mergeCell ref="N26:N27"/>
    <mergeCell ref="O26:O27"/>
    <mergeCell ref="P12:P13"/>
    <mergeCell ref="M12:M13"/>
    <mergeCell ref="N12:N13"/>
    <mergeCell ref="O12:O13"/>
    <mergeCell ref="G12:G13"/>
    <mergeCell ref="I12:I13"/>
    <mergeCell ref="A26:A27"/>
  </mergeCells>
  <phoneticPr fontId="35" type="noConversion"/>
  <dataValidations count="2">
    <dataValidation type="list" allowBlank="1" showInputMessage="1" showErrorMessage="1" sqref="C17:C24">
      <formula1>$B$90:$B$94</formula1>
    </dataValidation>
    <dataValidation type="list" allowBlank="1" showInputMessage="1" showErrorMessage="1" sqref="C28:C35">
      <formula1>Fuel</formula1>
    </dataValidation>
  </dataValidations>
  <printOptions horizontalCentered="1"/>
  <pageMargins left="0.7" right="0.7" top="0.67" bottom="0.31" header="0.31" footer="0.3"/>
  <pageSetup paperSize="5" scale="36" orientation="landscape"/>
  <headerFooter>
    <oddHeader>&amp;L&amp;14&amp;F&amp;R&amp;14&amp;D</oddHeader>
    <oddFooter>&amp;LCampus Planning&amp;R&amp;A</oddFoot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'Passenger Cars'!$B$89:$B$93</xm:f>
          </x14:formula1>
          <xm:sqref>C14:C15</xm:sqref>
        </x14:dataValidation>
      </x14:dataValidations>
    </ext>
    <ext xmlns:mx="http://schemas.microsoft.com/office/mac/excel/2008/main" uri="{64002731-A6B0-56B0-2670-7721B7C09600}">
      <mx:PLV Mode="0" OnePage="0" WScale="36"/>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6" sqref="A1:A6"/>
    </sheetView>
  </sheetViews>
  <sheetFormatPr defaultColWidth="8.6640625" defaultRowHeight="14.4" x14ac:dyDescent="0.3"/>
  <sheetData>
    <row r="1" spans="1:1" x14ac:dyDescent="0.3">
      <c r="A1" t="s">
        <v>42</v>
      </c>
    </row>
    <row r="2" spans="1:1" x14ac:dyDescent="0.3">
      <c r="A2" t="s">
        <v>66</v>
      </c>
    </row>
    <row r="3" spans="1:1" x14ac:dyDescent="0.3">
      <c r="A3" t="s">
        <v>40</v>
      </c>
    </row>
    <row r="4" spans="1:1" x14ac:dyDescent="0.3">
      <c r="A4" t="s">
        <v>60</v>
      </c>
    </row>
    <row r="5" spans="1:1" x14ac:dyDescent="0.3">
      <c r="A5" t="s">
        <v>199</v>
      </c>
    </row>
    <row r="6" spans="1:1" x14ac:dyDescent="0.3">
      <c r="A6" t="s">
        <v>200</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150" zoomScaleNormal="150" zoomScalePageLayoutView="150" workbookViewId="0">
      <selection activeCell="B17" sqref="B17"/>
    </sheetView>
  </sheetViews>
  <sheetFormatPr defaultColWidth="8.6640625" defaultRowHeight="14.4" x14ac:dyDescent="0.3"/>
  <cols>
    <col min="2" max="2" width="19.44140625" bestFit="1" customWidth="1"/>
    <col min="3" max="3" width="18.44140625" customWidth="1"/>
    <col min="4" max="4" width="10.6640625" bestFit="1" customWidth="1"/>
    <col min="5" max="6" width="10.6640625" customWidth="1"/>
    <col min="7" max="7" width="23.6640625" style="270" bestFit="1" customWidth="1"/>
    <col min="8" max="8" width="24.33203125" bestFit="1" customWidth="1"/>
    <col min="9" max="9" width="17.33203125" bestFit="1" customWidth="1"/>
    <col min="13" max="13" width="17.33203125" customWidth="1"/>
    <col min="14" max="14" width="18.109375" customWidth="1"/>
    <col min="16" max="16" width="19.33203125" customWidth="1"/>
    <col min="17" max="17" width="18.44140625" customWidth="1"/>
  </cols>
  <sheetData>
    <row r="1" spans="1:9" ht="15" thickBot="1" x14ac:dyDescent="0.35">
      <c r="G1" s="610"/>
    </row>
    <row r="2" spans="1:9" ht="21" x14ac:dyDescent="0.4">
      <c r="A2" s="1107" t="s">
        <v>201</v>
      </c>
      <c r="B2" s="1108"/>
      <c r="C2" s="1108"/>
      <c r="D2" s="1108"/>
      <c r="E2" s="1108"/>
      <c r="F2" s="1108"/>
      <c r="G2" s="1108"/>
      <c r="H2" s="1109"/>
      <c r="I2" s="557"/>
    </row>
    <row r="3" spans="1:9" x14ac:dyDescent="0.3">
      <c r="A3" s="558"/>
      <c r="B3" s="104"/>
      <c r="C3" s="104" t="s">
        <v>202</v>
      </c>
      <c r="D3" s="104" t="s">
        <v>203</v>
      </c>
      <c r="E3" s="104" t="s">
        <v>204</v>
      </c>
      <c r="F3" s="104" t="s">
        <v>205</v>
      </c>
      <c r="G3" s="109" t="s">
        <v>206</v>
      </c>
      <c r="H3" s="559" t="s">
        <v>207</v>
      </c>
      <c r="I3" s="343"/>
    </row>
    <row r="4" spans="1:9" x14ac:dyDescent="0.3">
      <c r="A4" s="1106" t="s">
        <v>208</v>
      </c>
      <c r="B4" s="104" t="s">
        <v>209</v>
      </c>
      <c r="C4" s="109">
        <v>17</v>
      </c>
      <c r="D4" s="109">
        <v>58</v>
      </c>
      <c r="E4" s="109">
        <v>124</v>
      </c>
      <c r="F4" s="110" t="s">
        <v>210</v>
      </c>
      <c r="G4" s="109">
        <v>7.2</v>
      </c>
      <c r="H4" s="560">
        <f>C4/G4</f>
        <v>2.3611111111111112</v>
      </c>
      <c r="I4" s="344"/>
    </row>
    <row r="5" spans="1:9" ht="15" customHeight="1" x14ac:dyDescent="0.3">
      <c r="A5" s="1106"/>
      <c r="B5" s="104" t="s">
        <v>211</v>
      </c>
      <c r="C5" s="109">
        <v>60</v>
      </c>
      <c r="D5" s="109">
        <v>238</v>
      </c>
      <c r="E5" s="109">
        <v>128</v>
      </c>
      <c r="F5" s="110" t="s">
        <v>210</v>
      </c>
      <c r="G5" s="109">
        <v>7.2</v>
      </c>
      <c r="H5" s="560">
        <f t="shared" ref="H5:H14" si="0">C5/G5</f>
        <v>8.3333333333333339</v>
      </c>
      <c r="I5" s="344"/>
    </row>
    <row r="6" spans="1:9" x14ac:dyDescent="0.3">
      <c r="A6" s="1106"/>
      <c r="B6" s="104" t="s">
        <v>212</v>
      </c>
      <c r="C6" s="109">
        <v>30</v>
      </c>
      <c r="D6" s="109">
        <v>107</v>
      </c>
      <c r="E6" s="109">
        <v>124</v>
      </c>
      <c r="F6" s="110" t="s">
        <v>210</v>
      </c>
      <c r="G6" s="109">
        <v>6.6</v>
      </c>
      <c r="H6" s="560">
        <f t="shared" si="0"/>
        <v>4.5454545454545459</v>
      </c>
      <c r="I6" s="344"/>
    </row>
    <row r="7" spans="1:9" x14ac:dyDescent="0.3">
      <c r="A7" s="1106"/>
      <c r="B7" s="104" t="s">
        <v>213</v>
      </c>
      <c r="C7" s="109">
        <v>40</v>
      </c>
      <c r="D7" s="109">
        <v>150</v>
      </c>
      <c r="E7" s="109">
        <v>130</v>
      </c>
      <c r="F7" s="110" t="s">
        <v>210</v>
      </c>
      <c r="G7" s="109">
        <v>6.6</v>
      </c>
      <c r="H7" s="560">
        <f t="shared" si="0"/>
        <v>6.0606060606060606</v>
      </c>
      <c r="I7" s="344"/>
    </row>
    <row r="8" spans="1:9" x14ac:dyDescent="0.3">
      <c r="A8" s="1106"/>
      <c r="B8" s="104" t="s">
        <v>214</v>
      </c>
      <c r="C8" s="109">
        <v>23</v>
      </c>
      <c r="D8" s="109">
        <v>115</v>
      </c>
      <c r="E8" s="109">
        <v>118</v>
      </c>
      <c r="F8" s="110" t="s">
        <v>210</v>
      </c>
      <c r="G8" s="109">
        <v>6.6</v>
      </c>
      <c r="H8" s="560">
        <f t="shared" si="0"/>
        <v>3.4848484848484849</v>
      </c>
      <c r="I8" s="344"/>
    </row>
    <row r="9" spans="1:9" x14ac:dyDescent="0.3">
      <c r="A9" s="1106"/>
      <c r="B9" s="104" t="s">
        <v>62</v>
      </c>
      <c r="C9" s="109">
        <v>50</v>
      </c>
      <c r="D9" s="109">
        <v>220</v>
      </c>
      <c r="E9" s="109">
        <v>126</v>
      </c>
      <c r="F9" s="110" t="s">
        <v>210</v>
      </c>
      <c r="G9" s="277">
        <v>11.6</v>
      </c>
      <c r="H9" s="560">
        <f t="shared" si="0"/>
        <v>4.3103448275862073</v>
      </c>
      <c r="I9" s="344"/>
    </row>
    <row r="10" spans="1:9" x14ac:dyDescent="0.3">
      <c r="A10" s="561"/>
      <c r="B10" s="108"/>
      <c r="C10" s="110"/>
      <c r="D10" s="110"/>
      <c r="E10" s="110"/>
      <c r="F10" s="110"/>
      <c r="G10" s="110"/>
      <c r="H10" s="562"/>
      <c r="I10" s="344"/>
    </row>
    <row r="11" spans="1:9" x14ac:dyDescent="0.3">
      <c r="A11" s="1104" t="s">
        <v>215</v>
      </c>
      <c r="B11" s="104" t="s">
        <v>216</v>
      </c>
      <c r="C11" s="109">
        <v>18</v>
      </c>
      <c r="D11" s="109">
        <v>53</v>
      </c>
      <c r="E11" s="109">
        <v>106</v>
      </c>
      <c r="F11" s="109">
        <v>42</v>
      </c>
      <c r="G11" s="109">
        <v>3.6</v>
      </c>
      <c r="H11" s="560">
        <f t="shared" si="0"/>
        <v>5</v>
      </c>
      <c r="I11" s="344"/>
    </row>
    <row r="12" spans="1:9" x14ac:dyDescent="0.3">
      <c r="A12" s="1104"/>
      <c r="B12" s="104" t="s">
        <v>217</v>
      </c>
      <c r="C12" s="109">
        <v>9</v>
      </c>
      <c r="D12" s="109">
        <v>25</v>
      </c>
      <c r="E12" s="109">
        <v>133</v>
      </c>
      <c r="F12" s="109">
        <v>54</v>
      </c>
      <c r="G12" s="109">
        <v>3.3</v>
      </c>
      <c r="H12" s="560">
        <f t="shared" si="0"/>
        <v>2.7272727272727275</v>
      </c>
      <c r="I12" s="344"/>
    </row>
    <row r="13" spans="1:9" x14ac:dyDescent="0.3">
      <c r="A13" s="1104"/>
      <c r="B13" s="104" t="s">
        <v>218</v>
      </c>
      <c r="C13" s="109">
        <v>7</v>
      </c>
      <c r="D13" s="109">
        <v>19</v>
      </c>
      <c r="E13" s="109">
        <v>97</v>
      </c>
      <c r="F13" s="109">
        <v>42</v>
      </c>
      <c r="G13" s="109">
        <v>3.3</v>
      </c>
      <c r="H13" s="560">
        <f t="shared" si="0"/>
        <v>2.1212121212121211</v>
      </c>
      <c r="I13" s="344"/>
    </row>
    <row r="14" spans="1:9" ht="15" thickBot="1" x14ac:dyDescent="0.35">
      <c r="A14" s="1105"/>
      <c r="B14" s="563" t="s">
        <v>219</v>
      </c>
      <c r="C14" s="564">
        <v>16</v>
      </c>
      <c r="D14" s="564">
        <v>33</v>
      </c>
      <c r="E14" s="564">
        <v>84</v>
      </c>
      <c r="F14" s="564">
        <v>32</v>
      </c>
      <c r="G14" s="564">
        <v>6.6</v>
      </c>
      <c r="H14" s="565">
        <f t="shared" si="0"/>
        <v>2.4242424242424243</v>
      </c>
      <c r="I14" s="344"/>
    </row>
    <row r="15" spans="1:9" ht="15.6" x14ac:dyDescent="0.3">
      <c r="B15" s="568" t="s">
        <v>67</v>
      </c>
      <c r="G15" s="610"/>
    </row>
    <row r="16" spans="1:9" x14ac:dyDescent="0.3">
      <c r="B16" s="773" t="str">
        <f>'Enter Your Data'!B12</f>
        <v>Vehicle Name</v>
      </c>
      <c r="C16" s="773">
        <f>'Enter Your Data'!C15</f>
        <v>0</v>
      </c>
      <c r="D16" s="773">
        <f>'Enter Your Data'!D15</f>
        <v>0</v>
      </c>
      <c r="E16" s="773">
        <f>'Enter Your Data'!E15</f>
        <v>0</v>
      </c>
      <c r="F16" s="773">
        <f>'Enter Your Data'!F15</f>
        <v>0</v>
      </c>
      <c r="G16" s="773">
        <f>'Enter Your Data'!G15</f>
        <v>0</v>
      </c>
      <c r="H16" s="773">
        <f>'Enter Your Data'!H15</f>
        <v>0</v>
      </c>
    </row>
  </sheetData>
  <mergeCells count="3">
    <mergeCell ref="A11:A14"/>
    <mergeCell ref="A4:A9"/>
    <mergeCell ref="A2:H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2"/>
  <sheetViews>
    <sheetView workbookViewId="0">
      <selection activeCell="Q21" sqref="Q21"/>
    </sheetView>
  </sheetViews>
  <sheetFormatPr defaultColWidth="8.77734375" defaultRowHeight="14.4" x14ac:dyDescent="0.3"/>
  <cols>
    <col min="2" max="2" width="9.77734375" bestFit="1" customWidth="1"/>
    <col min="13" max="13" width="10.77734375" customWidth="1"/>
    <col min="16" max="16" width="11.6640625" bestFit="1" customWidth="1"/>
  </cols>
  <sheetData>
    <row r="2" spans="2:13" x14ac:dyDescent="0.3">
      <c r="C2" t="s">
        <v>224</v>
      </c>
      <c r="D2" t="s">
        <v>226</v>
      </c>
      <c r="E2" t="s">
        <v>227</v>
      </c>
      <c r="F2" t="s">
        <v>228</v>
      </c>
      <c r="G2" t="s">
        <v>229</v>
      </c>
      <c r="H2" t="s">
        <v>230</v>
      </c>
      <c r="I2" t="s">
        <v>231</v>
      </c>
      <c r="J2" t="s">
        <v>232</v>
      </c>
      <c r="K2" t="s">
        <v>233</v>
      </c>
      <c r="L2" t="s">
        <v>234</v>
      </c>
      <c r="M2" t="s">
        <v>235</v>
      </c>
    </row>
    <row r="3" spans="2:13" x14ac:dyDescent="0.3">
      <c r="B3" t="s">
        <v>225</v>
      </c>
      <c r="C3" s="619">
        <v>0.03</v>
      </c>
    </row>
    <row r="4" spans="2:13" x14ac:dyDescent="0.3">
      <c r="B4" t="s">
        <v>224</v>
      </c>
      <c r="C4" s="620">
        <v>3.1</v>
      </c>
      <c r="D4" s="620">
        <f>C4*(1+$C$3)</f>
        <v>3.1930000000000001</v>
      </c>
      <c r="E4" s="620">
        <f t="shared" ref="E4:L4" si="0">D4*(1+$C$3)</f>
        <v>3.2887900000000001</v>
      </c>
      <c r="F4" s="620">
        <f t="shared" si="0"/>
        <v>3.3874537</v>
      </c>
      <c r="G4" s="620">
        <f t="shared" si="0"/>
        <v>3.489077311</v>
      </c>
      <c r="H4" s="620">
        <f t="shared" si="0"/>
        <v>3.5937496303300001</v>
      </c>
      <c r="I4" s="620">
        <f t="shared" si="0"/>
        <v>3.7015621192399002</v>
      </c>
      <c r="J4" s="620">
        <f t="shared" si="0"/>
        <v>3.8126089828170975</v>
      </c>
      <c r="K4" s="620">
        <f t="shared" si="0"/>
        <v>3.9269872523016107</v>
      </c>
      <c r="L4" s="620">
        <f t="shared" si="0"/>
        <v>4.0447968698706589</v>
      </c>
      <c r="M4" s="620">
        <f>AVERAGE(C4:L4)</f>
        <v>3.5538025865559262</v>
      </c>
    </row>
    <row r="5" spans="2:13" x14ac:dyDescent="0.3">
      <c r="B5" t="s">
        <v>223</v>
      </c>
      <c r="C5">
        <v>2000</v>
      </c>
      <c r="D5">
        <v>2000</v>
      </c>
      <c r="E5">
        <v>2000</v>
      </c>
      <c r="F5">
        <v>2000</v>
      </c>
      <c r="G5">
        <v>2000</v>
      </c>
      <c r="H5">
        <v>2000</v>
      </c>
      <c r="I5">
        <v>2000</v>
      </c>
      <c r="J5">
        <v>2000</v>
      </c>
      <c r="K5">
        <v>2000</v>
      </c>
      <c r="L5">
        <v>2000</v>
      </c>
    </row>
    <row r="7" spans="2:13" x14ac:dyDescent="0.3">
      <c r="B7" t="s">
        <v>222</v>
      </c>
      <c r="C7" s="621">
        <f>C5*C4</f>
        <v>6200</v>
      </c>
      <c r="D7" s="621">
        <f t="shared" ref="D7:L7" si="1">D5*D4</f>
        <v>6386</v>
      </c>
      <c r="E7" s="621">
        <f t="shared" si="1"/>
        <v>6577.58</v>
      </c>
      <c r="F7" s="621">
        <f t="shared" si="1"/>
        <v>6774.9074000000001</v>
      </c>
      <c r="G7" s="621">
        <f t="shared" si="1"/>
        <v>6978.154622</v>
      </c>
      <c r="H7" s="621">
        <f t="shared" si="1"/>
        <v>7187.4992606599999</v>
      </c>
      <c r="I7" s="621">
        <f t="shared" si="1"/>
        <v>7403.1242384798006</v>
      </c>
      <c r="J7" s="621">
        <f t="shared" si="1"/>
        <v>7625.217965634195</v>
      </c>
      <c r="K7" s="621">
        <f t="shared" si="1"/>
        <v>7853.9745046032212</v>
      </c>
      <c r="L7" s="621">
        <f t="shared" si="1"/>
        <v>8089.5937397413181</v>
      </c>
      <c r="M7" s="621">
        <f>SUM(C7:L7)</f>
        <v>71076.051731118539</v>
      </c>
    </row>
    <row r="14" spans="2:13" x14ac:dyDescent="0.3">
      <c r="M14">
        <v>3.55</v>
      </c>
    </row>
    <row r="15" spans="2:13" x14ac:dyDescent="0.3">
      <c r="M15">
        <v>20000</v>
      </c>
    </row>
    <row r="16" spans="2:13" x14ac:dyDescent="0.3">
      <c r="M16">
        <f>M14*M15</f>
        <v>71000</v>
      </c>
    </row>
    <row r="19" spans="2:17" x14ac:dyDescent="0.3">
      <c r="P19" t="s">
        <v>238</v>
      </c>
      <c r="Q19" t="s">
        <v>313</v>
      </c>
    </row>
    <row r="20" spans="2:17" ht="15" thickBot="1" x14ac:dyDescent="0.35">
      <c r="F20" t="s">
        <v>224</v>
      </c>
      <c r="G20" t="s">
        <v>226</v>
      </c>
      <c r="H20" t="s">
        <v>227</v>
      </c>
      <c r="I20" t="s">
        <v>228</v>
      </c>
      <c r="J20" t="s">
        <v>229</v>
      </c>
      <c r="K20" t="s">
        <v>230</v>
      </c>
      <c r="L20" t="s">
        <v>231</v>
      </c>
      <c r="M20" t="s">
        <v>232</v>
      </c>
      <c r="N20" t="s">
        <v>233</v>
      </c>
      <c r="O20" t="s">
        <v>234</v>
      </c>
      <c r="P20" t="s">
        <v>237</v>
      </c>
      <c r="Q20" t="s">
        <v>237</v>
      </c>
    </row>
    <row r="21" spans="2:17" ht="15.6" x14ac:dyDescent="0.3">
      <c r="B21" s="615" t="s">
        <v>1</v>
      </c>
      <c r="C21" s="616"/>
      <c r="D21" s="567"/>
      <c r="E21" s="567"/>
      <c r="F21" s="623">
        <f>'Enter Your Data'!I3</f>
        <v>1.65</v>
      </c>
      <c r="G21" s="620">
        <f>F21*(1+$F$28)</f>
        <v>1.617</v>
      </c>
      <c r="H21" s="620">
        <f t="shared" ref="H21:O21" si="2">G21*(1+$F$28)</f>
        <v>1.58466</v>
      </c>
      <c r="I21" s="620">
        <f t="shared" si="2"/>
        <v>1.5529667999999999</v>
      </c>
      <c r="J21" s="620">
        <f t="shared" si="2"/>
        <v>1.5219074639999999</v>
      </c>
      <c r="K21" s="620">
        <f t="shared" si="2"/>
        <v>1.4914693147199998</v>
      </c>
      <c r="L21" s="620">
        <f t="shared" si="2"/>
        <v>1.4616399284255996</v>
      </c>
      <c r="M21" s="620">
        <f t="shared" si="2"/>
        <v>1.4324071298570877</v>
      </c>
      <c r="N21" s="620">
        <f t="shared" si="2"/>
        <v>1.4037589872599459</v>
      </c>
      <c r="O21" s="620">
        <f t="shared" si="2"/>
        <v>1.3756838075147468</v>
      </c>
      <c r="P21" s="624">
        <f t="shared" ref="P21:P25" si="3">AVERAGE(F21:O21)</f>
        <v>1.5091493431777381</v>
      </c>
      <c r="Q21" s="620">
        <f>AVERAGE(F21:K21)</f>
        <v>1.5696672631200002</v>
      </c>
    </row>
    <row r="22" spans="2:17" ht="15.6" x14ac:dyDescent="0.3">
      <c r="B22" s="617" t="s">
        <v>221</v>
      </c>
      <c r="C22" s="618"/>
      <c r="D22" s="566"/>
      <c r="E22" s="566"/>
      <c r="F22" s="623">
        <f>'Enter Your Data'!I4</f>
        <v>2.2799999999999998</v>
      </c>
      <c r="G22" s="620">
        <f>F22*(1+$F$29)</f>
        <v>2.3255999999999997</v>
      </c>
      <c r="H22" s="620">
        <f t="shared" ref="H22:O22" si="4">G22*(1+$F$29)</f>
        <v>2.3721119999999996</v>
      </c>
      <c r="I22" s="620">
        <f t="shared" si="4"/>
        <v>2.4195542399999996</v>
      </c>
      <c r="J22" s="620">
        <f t="shared" si="4"/>
        <v>2.4679453247999996</v>
      </c>
      <c r="K22" s="620">
        <f t="shared" si="4"/>
        <v>2.5173042312959995</v>
      </c>
      <c r="L22" s="620">
        <f t="shared" si="4"/>
        <v>2.5676503159219193</v>
      </c>
      <c r="M22" s="620">
        <f t="shared" si="4"/>
        <v>2.6190033222403577</v>
      </c>
      <c r="N22" s="620">
        <f t="shared" si="4"/>
        <v>2.671383388685165</v>
      </c>
      <c r="O22" s="620">
        <f t="shared" si="4"/>
        <v>2.7248110564588686</v>
      </c>
      <c r="P22" s="624">
        <f>AVERAGE(F22:O22)</f>
        <v>2.4965363879402309</v>
      </c>
      <c r="Q22" s="620">
        <f t="shared" ref="Q22:Q25" si="5">AVERAGE(F22:K22)</f>
        <v>2.3970859660159998</v>
      </c>
    </row>
    <row r="23" spans="2:17" ht="15.6" x14ac:dyDescent="0.3">
      <c r="B23" s="617" t="s">
        <v>4</v>
      </c>
      <c r="C23" s="618"/>
      <c r="D23" s="566"/>
      <c r="E23" s="566"/>
      <c r="F23" s="623">
        <f>'Enter Your Data'!I5</f>
        <v>2.13</v>
      </c>
      <c r="G23" s="620">
        <f>F23*(1+$F$30)</f>
        <v>2.1726000000000001</v>
      </c>
      <c r="H23" s="620">
        <f t="shared" ref="H23:O23" si="6">G23*(1+$F$30)</f>
        <v>2.2160519999999999</v>
      </c>
      <c r="I23" s="620">
        <f t="shared" si="6"/>
        <v>2.2603730400000002</v>
      </c>
      <c r="J23" s="620">
        <f t="shared" si="6"/>
        <v>2.3055805008000001</v>
      </c>
      <c r="K23" s="620">
        <f t="shared" si="6"/>
        <v>2.3516921108160003</v>
      </c>
      <c r="L23" s="620">
        <f t="shared" si="6"/>
        <v>2.3987259530323204</v>
      </c>
      <c r="M23" s="620">
        <f t="shared" si="6"/>
        <v>2.4467004720929668</v>
      </c>
      <c r="N23" s="620">
        <f t="shared" si="6"/>
        <v>2.4956344815348261</v>
      </c>
      <c r="O23" s="620">
        <f t="shared" si="6"/>
        <v>2.5455471711655226</v>
      </c>
      <c r="P23" s="624">
        <f t="shared" si="3"/>
        <v>2.3322905729441636</v>
      </c>
      <c r="Q23" s="620">
        <f t="shared" si="5"/>
        <v>2.2393829419359998</v>
      </c>
    </row>
    <row r="24" spans="2:17" ht="15.6" x14ac:dyDescent="0.3">
      <c r="B24" s="617" t="s">
        <v>6</v>
      </c>
      <c r="C24" s="618"/>
      <c r="D24" s="566"/>
      <c r="E24" s="566"/>
      <c r="F24" s="623">
        <f>'Enter Your Data'!I6</f>
        <v>0.05</v>
      </c>
      <c r="G24" s="620">
        <f>F24*(1+$F$31)</f>
        <v>0.05</v>
      </c>
      <c r="H24" s="620">
        <f t="shared" ref="H24:O24" si="7">G24*(1+$F$31)</f>
        <v>0.05</v>
      </c>
      <c r="I24" s="620">
        <f t="shared" si="7"/>
        <v>0.05</v>
      </c>
      <c r="J24" s="620">
        <f t="shared" si="7"/>
        <v>0.05</v>
      </c>
      <c r="K24" s="620">
        <f t="shared" si="7"/>
        <v>0.05</v>
      </c>
      <c r="L24" s="620">
        <f t="shared" si="7"/>
        <v>0.05</v>
      </c>
      <c r="M24" s="620">
        <f t="shared" si="7"/>
        <v>0.05</v>
      </c>
      <c r="N24" s="620">
        <f t="shared" si="7"/>
        <v>0.05</v>
      </c>
      <c r="O24" s="620">
        <f t="shared" si="7"/>
        <v>0.05</v>
      </c>
      <c r="P24" s="624">
        <f t="shared" si="3"/>
        <v>4.9999999999999996E-2</v>
      </c>
      <c r="Q24" s="620">
        <f t="shared" si="5"/>
        <v>4.9999999999999996E-2</v>
      </c>
    </row>
    <row r="25" spans="2:17" ht="15.6" x14ac:dyDescent="0.3">
      <c r="B25" s="617" t="s">
        <v>9</v>
      </c>
      <c r="C25" s="618"/>
      <c r="D25" s="566"/>
      <c r="E25" s="566"/>
      <c r="F25" s="623">
        <f>'Enter Your Data'!I7</f>
        <v>0.16</v>
      </c>
      <c r="G25" s="620">
        <f>F25*(1+$F$32)</f>
        <v>0.16320000000000001</v>
      </c>
      <c r="H25" s="620">
        <f t="shared" ref="H25:O25" si="8">G25*(1+$F$32)</f>
        <v>0.16646400000000003</v>
      </c>
      <c r="I25" s="620">
        <f t="shared" si="8"/>
        <v>0.16979328000000002</v>
      </c>
      <c r="J25" s="620">
        <f t="shared" si="8"/>
        <v>0.17318914560000001</v>
      </c>
      <c r="K25" s="620">
        <f t="shared" si="8"/>
        <v>0.17665292851200001</v>
      </c>
      <c r="L25" s="620">
        <f t="shared" si="8"/>
        <v>0.18018598708224001</v>
      </c>
      <c r="M25" s="620">
        <f t="shared" si="8"/>
        <v>0.18378970682388482</v>
      </c>
      <c r="N25" s="620">
        <f t="shared" si="8"/>
        <v>0.18746550096036252</v>
      </c>
      <c r="O25" s="620">
        <f t="shared" si="8"/>
        <v>0.19121481097956977</v>
      </c>
      <c r="P25" s="624">
        <f t="shared" si="3"/>
        <v>0.1751955359958057</v>
      </c>
      <c r="Q25" s="620">
        <f t="shared" si="5"/>
        <v>0.16821655901866669</v>
      </c>
    </row>
    <row r="27" spans="2:17" ht="15" thickBot="1" x14ac:dyDescent="0.35">
      <c r="B27" s="1110" t="s">
        <v>236</v>
      </c>
      <c r="C27" s="1110"/>
      <c r="D27" s="1110"/>
      <c r="E27" s="1110"/>
    </row>
    <row r="28" spans="2:17" ht="15.6" x14ac:dyDescent="0.3">
      <c r="B28" s="615" t="s">
        <v>1</v>
      </c>
      <c r="C28" s="616"/>
      <c r="D28" s="567"/>
      <c r="E28" s="567"/>
      <c r="F28" s="622">
        <f>'Enter Your Data'!J3</f>
        <v>-0.02</v>
      </c>
    </row>
    <row r="29" spans="2:17" ht="15.6" x14ac:dyDescent="0.3">
      <c r="B29" s="617" t="s">
        <v>221</v>
      </c>
      <c r="C29" s="618"/>
      <c r="D29" s="566"/>
      <c r="E29" s="566"/>
      <c r="F29" s="622">
        <f>'Enter Your Data'!J4</f>
        <v>0.02</v>
      </c>
    </row>
    <row r="30" spans="2:17" ht="15.6" x14ac:dyDescent="0.3">
      <c r="B30" s="617" t="s">
        <v>4</v>
      </c>
      <c r="C30" s="618"/>
      <c r="D30" s="566"/>
      <c r="E30" s="566"/>
      <c r="F30" s="622">
        <f>'Enter Your Data'!J5</f>
        <v>0.02</v>
      </c>
    </row>
    <row r="31" spans="2:17" ht="15.6" x14ac:dyDescent="0.3">
      <c r="B31" s="617" t="s">
        <v>6</v>
      </c>
      <c r="C31" s="618"/>
      <c r="D31" s="566"/>
      <c r="E31" s="566"/>
      <c r="F31" s="622">
        <f>'Enter Your Data'!J6</f>
        <v>0</v>
      </c>
    </row>
    <row r="32" spans="2:17" ht="15.6" x14ac:dyDescent="0.3">
      <c r="B32" s="617" t="s">
        <v>9</v>
      </c>
      <c r="C32" s="618"/>
      <c r="D32" s="566"/>
      <c r="E32" s="566"/>
      <c r="F32" s="622">
        <f>'Enter Your Data'!J7</f>
        <v>0.02</v>
      </c>
    </row>
  </sheetData>
  <mergeCells count="1">
    <mergeCell ref="B27:E27"/>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2"/>
  <sheetViews>
    <sheetView workbookViewId="0">
      <selection activeCell="A15" sqref="A15:P15"/>
    </sheetView>
  </sheetViews>
  <sheetFormatPr defaultColWidth="11.5546875" defaultRowHeight="14.4" x14ac:dyDescent="0.3"/>
  <cols>
    <col min="1" max="1" width="31" bestFit="1" customWidth="1"/>
    <col min="2" max="2" width="10.44140625" bestFit="1" customWidth="1"/>
    <col min="3" max="3" width="9.77734375" bestFit="1" customWidth="1"/>
    <col min="4" max="4" width="10.33203125" bestFit="1" customWidth="1"/>
    <col min="5" max="5" width="13.77734375" customWidth="1"/>
    <col min="6" max="6" width="19" bestFit="1" customWidth="1"/>
    <col min="7" max="7" width="17.109375" customWidth="1"/>
  </cols>
  <sheetData>
    <row r="2" spans="1:16" x14ac:dyDescent="0.3">
      <c r="A2" t="s">
        <v>251</v>
      </c>
    </row>
    <row r="4" spans="1:16" ht="6" customHeight="1" thickBot="1" x14ac:dyDescent="0.35"/>
    <row r="5" spans="1:16" ht="31.05" customHeight="1" x14ac:dyDescent="0.3">
      <c r="A5" s="896" t="s">
        <v>16</v>
      </c>
      <c r="B5" s="938" t="s">
        <v>17</v>
      </c>
      <c r="C5" s="941" t="s">
        <v>18</v>
      </c>
      <c r="D5" s="941" t="s">
        <v>19</v>
      </c>
      <c r="E5" s="913" t="s">
        <v>20</v>
      </c>
      <c r="F5" s="922" t="s">
        <v>21</v>
      </c>
      <c r="G5" s="913" t="s">
        <v>22</v>
      </c>
      <c r="H5" s="922" t="s">
        <v>23</v>
      </c>
      <c r="I5" s="922" t="s">
        <v>24</v>
      </c>
      <c r="J5" s="922" t="s">
        <v>25</v>
      </c>
      <c r="K5" s="922" t="s">
        <v>26</v>
      </c>
      <c r="L5" s="644"/>
      <c r="M5" s="978" t="s">
        <v>27</v>
      </c>
      <c r="N5" s="920" t="s">
        <v>28</v>
      </c>
      <c r="O5" s="920" t="s">
        <v>29</v>
      </c>
      <c r="P5" s="918" t="s">
        <v>30</v>
      </c>
    </row>
    <row r="6" spans="1:16" ht="37.950000000000003" customHeight="1" x14ac:dyDescent="0.3">
      <c r="A6" s="897"/>
      <c r="B6" s="939"/>
      <c r="C6" s="942"/>
      <c r="D6" s="942"/>
      <c r="E6" s="914"/>
      <c r="F6" s="923"/>
      <c r="G6" s="914"/>
      <c r="H6" s="923"/>
      <c r="I6" s="940"/>
      <c r="J6" s="940"/>
      <c r="K6" s="923"/>
      <c r="L6" s="645"/>
      <c r="M6" s="921"/>
      <c r="N6" s="921"/>
      <c r="O6" s="921"/>
      <c r="P6" s="919"/>
    </row>
    <row r="7" spans="1:16" x14ac:dyDescent="0.3">
      <c r="A7" t="s">
        <v>252</v>
      </c>
      <c r="E7">
        <v>20995</v>
      </c>
      <c r="I7">
        <v>24</v>
      </c>
      <c r="J7">
        <v>6</v>
      </c>
    </row>
    <row r="8" spans="1:16" x14ac:dyDescent="0.3">
      <c r="A8" t="s">
        <v>254</v>
      </c>
      <c r="E8">
        <v>23495</v>
      </c>
      <c r="I8">
        <v>29</v>
      </c>
      <c r="J8">
        <v>8</v>
      </c>
    </row>
    <row r="10" spans="1:16" x14ac:dyDescent="0.3">
      <c r="A10" t="s">
        <v>256</v>
      </c>
      <c r="E10">
        <v>15635</v>
      </c>
      <c r="I10">
        <v>30</v>
      </c>
      <c r="J10">
        <v>7</v>
      </c>
    </row>
    <row r="11" spans="1:16" x14ac:dyDescent="0.3">
      <c r="A11" t="s">
        <v>257</v>
      </c>
      <c r="E11">
        <v>22500</v>
      </c>
      <c r="I11">
        <v>25</v>
      </c>
      <c r="J11">
        <v>6</v>
      </c>
    </row>
    <row r="12" spans="1:16" x14ac:dyDescent="0.3">
      <c r="A12" t="s">
        <v>258</v>
      </c>
      <c r="E12">
        <v>25195</v>
      </c>
      <c r="I12">
        <v>22</v>
      </c>
      <c r="J12">
        <v>5</v>
      </c>
    </row>
    <row r="14" spans="1:16" x14ac:dyDescent="0.3">
      <c r="A14" s="656" t="s">
        <v>259</v>
      </c>
    </row>
    <row r="15" spans="1:16" x14ac:dyDescent="0.3">
      <c r="A15" t="s">
        <v>260</v>
      </c>
      <c r="E15">
        <f>30335-F15</f>
        <v>22835</v>
      </c>
      <c r="F15">
        <v>7500</v>
      </c>
      <c r="I15">
        <v>150</v>
      </c>
      <c r="J15">
        <v>0</v>
      </c>
    </row>
    <row r="18" spans="1:10" x14ac:dyDescent="0.3">
      <c r="A18" t="s">
        <v>261</v>
      </c>
      <c r="E18">
        <f>32250-F18</f>
        <v>24750</v>
      </c>
      <c r="F18">
        <v>7500</v>
      </c>
      <c r="I18">
        <v>124</v>
      </c>
      <c r="J18">
        <v>0</v>
      </c>
    </row>
    <row r="20" spans="1:10" x14ac:dyDescent="0.3">
      <c r="A20" t="s">
        <v>262</v>
      </c>
    </row>
    <row r="21" spans="1:10" x14ac:dyDescent="0.3">
      <c r="A21" t="s">
        <v>254</v>
      </c>
      <c r="E21">
        <v>27800</v>
      </c>
      <c r="I21">
        <v>51</v>
      </c>
      <c r="J21">
        <v>10</v>
      </c>
    </row>
    <row r="22" spans="1:10" x14ac:dyDescent="0.3">
      <c r="A22" t="s">
        <v>255</v>
      </c>
    </row>
  </sheetData>
  <mergeCells count="15">
    <mergeCell ref="F5:F6"/>
    <mergeCell ref="A5:A6"/>
    <mergeCell ref="B5:B6"/>
    <mergeCell ref="C5:C6"/>
    <mergeCell ref="D5:D6"/>
    <mergeCell ref="E5:E6"/>
    <mergeCell ref="N5:N6"/>
    <mergeCell ref="O5:O6"/>
    <mergeCell ref="P5:P6"/>
    <mergeCell ref="G5:G6"/>
    <mergeCell ref="H5:H6"/>
    <mergeCell ref="I5:I6"/>
    <mergeCell ref="J5:J6"/>
    <mergeCell ref="K5:K6"/>
    <mergeCell ref="M5:M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Enter Your Data</vt:lpstr>
      <vt:lpstr>Passenger Cars</vt:lpstr>
      <vt:lpstr>Vans and Trucks</vt:lpstr>
      <vt:lpstr>Crossovers and Special Purpose</vt:lpstr>
      <vt:lpstr>Sheet1</vt:lpstr>
      <vt:lpstr>EV Details</vt:lpstr>
      <vt:lpstr>Calculations</vt:lpstr>
      <vt:lpstr>new cars</vt:lpstr>
      <vt:lpstr>Fuel</vt:lpstr>
      <vt:lpstr>FuelType</vt:lpstr>
      <vt:lpstr>FuelTypes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Pesci</dc:creator>
  <cp:keywords/>
  <dc:description/>
  <cp:lastModifiedBy>Weatherbee, Stephanie</cp:lastModifiedBy>
  <cp:revision/>
  <dcterms:created xsi:type="dcterms:W3CDTF">2010-08-18T19:19:54Z</dcterms:created>
  <dcterms:modified xsi:type="dcterms:W3CDTF">2018-02-23T19:07:23Z</dcterms:modified>
  <cp:category/>
  <cp:contentStatus/>
</cp:coreProperties>
</file>